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G:\My Drive\AAARL Shared\AAARL Current Projects\Covid 19\Prediction Model\"/>
    </mc:Choice>
  </mc:AlternateContent>
  <xr:revisionPtr revIDLastSave="0" documentId="8_{22601929-C5A3-466A-871A-0F65ECD17552}" xr6:coauthVersionLast="45" xr6:coauthVersionMax="45" xr10:uidLastSave="{00000000-0000-0000-0000-000000000000}"/>
  <bookViews>
    <workbookView xWindow="-120" yWindow="-120" windowWidth="29040" windowHeight="16440" firstSheet="17" activeTab="17" xr2:uid="{00000000-000D-0000-FFFF-FFFF00000000}"/>
  </bookViews>
  <sheets>
    <sheet name="2) Comparative Cases March 25" sheetId="22" state="hidden" r:id="rId1"/>
    <sheet name="2) Comparative Cases March 26" sheetId="23" state="hidden" r:id="rId2"/>
    <sheet name="2) Comparative Cases March 27" sheetId="24" state="hidden" r:id="rId3"/>
    <sheet name="2) Comparative Cases March 28" sheetId="25" state="hidden" r:id="rId4"/>
    <sheet name="2) Comparative Cases March 30" sheetId="27" state="hidden" r:id="rId5"/>
    <sheet name="2) Comparative Cases April 1" sheetId="28" state="hidden" r:id="rId6"/>
    <sheet name="2) Comparative Cases April  2" sheetId="29" state="hidden" r:id="rId7"/>
    <sheet name="2) Comparative Cases April  3" sheetId="30" state="hidden" r:id="rId8"/>
    <sheet name="2) Comparative Cases April  4" sheetId="31" state="hidden" r:id="rId9"/>
    <sheet name="2) Comparative Cases April  5" sheetId="32" state="hidden" r:id="rId10"/>
    <sheet name="2) Comparative Cases April  6" sheetId="33" state="hidden" r:id="rId11"/>
    <sheet name="2) Comparative Cases April 9" sheetId="34" state="hidden" r:id="rId12"/>
    <sheet name="2) Comparative Cases April 12" sheetId="35" state="hidden" r:id="rId13"/>
    <sheet name="2) Comparative Cases April 16" sheetId="36" state="hidden" r:id="rId14"/>
    <sheet name="2) Comparative Cases April 19" sheetId="37" state="hidden" r:id="rId15"/>
    <sheet name="Cover" sheetId="1" r:id="rId16"/>
    <sheet name="1) Time Trends Toronto Region" sheetId="13" r:id="rId17"/>
    <sheet name="2) Comparative Cases April 26" sheetId="20" r:id="rId18"/>
    <sheet name="Trends Analysis" sheetId="10" state="hidden" r:id="rId19"/>
    <sheet name="Results" sheetId="6" state="hidden" r:id="rId20"/>
    <sheet name="Population" sheetId="2" state="hidden" r:id="rId21"/>
    <sheet name="2) Comparative Cases March 29" sheetId="26" state="hidden" r:id="rId22"/>
    <sheet name="3) Report Template" sheetId="15" r:id="rId23"/>
    <sheet name="Time Trends Ontario" sheetId="3" r:id="rId24"/>
    <sheet name="2) Comparative Cases March 24" sheetId="21" state="hidden" r:id="rId25"/>
    <sheet name="Time Trends Kitchener Region" sheetId="7" r:id="rId26"/>
    <sheet name="Comparative Cases March 23" sheetId="19" state="hidden" r:id="rId27"/>
    <sheet name="Comparative Cases March 22" sheetId="18" state="hidden" r:id="rId28"/>
    <sheet name="Comparative Cases March 21" sheetId="17" state="hidden" r:id="rId29"/>
    <sheet name="Comparative Cases March 20" sheetId="16" state="hidden" r:id="rId30"/>
    <sheet name="Comparative Cases March 19" sheetId="14" state="hidden" r:id="rId31"/>
    <sheet name="Comparative Cases March 18" sheetId="12" state="hidden" r:id="rId32"/>
    <sheet name="Comparative Cases March 17" sheetId="11" state="hidden" r:id="rId33"/>
    <sheet name="Comparative Cases March 13" sheetId="5" state="hidden" r:id="rId34"/>
    <sheet name="Comparative Cases (march 16)" sheetId="9" state="hidden" r:id="rId35"/>
    <sheet name="Comparative Cases (template)" sheetId="8" r:id="rId3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9" i="37" l="1"/>
  <c r="G79" i="37"/>
  <c r="D79" i="37"/>
  <c r="I77" i="37"/>
  <c r="H77" i="37"/>
  <c r="B73" i="37"/>
  <c r="B72" i="37"/>
  <c r="B69" i="37"/>
  <c r="B68" i="37"/>
  <c r="I57" i="37"/>
  <c r="G57" i="37"/>
  <c r="F57" i="37"/>
  <c r="B50" i="37"/>
  <c r="B46" i="37"/>
  <c r="B45" i="37"/>
  <c r="O34" i="37"/>
  <c r="N34" i="37"/>
  <c r="I34" i="37"/>
  <c r="G34" i="37"/>
  <c r="F34" i="37"/>
  <c r="O32" i="37"/>
  <c r="M32" i="37"/>
  <c r="L32" i="37"/>
  <c r="G32" i="37"/>
  <c r="E32" i="37"/>
  <c r="D32" i="37"/>
  <c r="O26" i="37"/>
  <c r="N26" i="37"/>
  <c r="M26" i="37"/>
  <c r="M57" i="37" s="1"/>
  <c r="L26" i="37"/>
  <c r="L57" i="37" s="1"/>
  <c r="K26" i="37"/>
  <c r="K79" i="37" s="1"/>
  <c r="J26" i="37"/>
  <c r="J79" i="37" s="1"/>
  <c r="I26" i="37"/>
  <c r="I79" i="37" s="1"/>
  <c r="H26" i="37"/>
  <c r="H79" i="37" s="1"/>
  <c r="G26" i="37"/>
  <c r="F26" i="37"/>
  <c r="F79" i="37" s="1"/>
  <c r="E26" i="37"/>
  <c r="E57" i="37" s="1"/>
  <c r="D26" i="37"/>
  <c r="D57" i="37" s="1"/>
  <c r="C26" i="37"/>
  <c r="C79" i="37" s="1"/>
  <c r="B26" i="37"/>
  <c r="B79" i="37" s="1"/>
  <c r="O25" i="37"/>
  <c r="N25" i="37"/>
  <c r="O24" i="37"/>
  <c r="N24" i="37"/>
  <c r="N32" i="37" s="1"/>
  <c r="M24" i="37"/>
  <c r="M55" i="37" s="1"/>
  <c r="L24" i="37"/>
  <c r="L77" i="37" s="1"/>
  <c r="K24" i="37"/>
  <c r="K32" i="37" s="1"/>
  <c r="J24" i="37"/>
  <c r="J32" i="37" s="1"/>
  <c r="I24" i="37"/>
  <c r="I55" i="37" s="1"/>
  <c r="H24" i="37"/>
  <c r="H55" i="37" s="1"/>
  <c r="G24" i="37"/>
  <c r="G77" i="37" s="1"/>
  <c r="F24" i="37"/>
  <c r="F77" i="37" s="1"/>
  <c r="E24" i="37"/>
  <c r="E55" i="37" s="1"/>
  <c r="D24" i="37"/>
  <c r="D77" i="37" s="1"/>
  <c r="C24" i="37"/>
  <c r="C32" i="37" s="1"/>
  <c r="B24" i="37"/>
  <c r="B32" i="37" s="1"/>
  <c r="O20" i="37"/>
  <c r="N20" i="37"/>
  <c r="O19" i="37"/>
  <c r="N19" i="37"/>
  <c r="O16" i="37"/>
  <c r="N16" i="37"/>
  <c r="M16" i="37"/>
  <c r="L16" i="37"/>
  <c r="K16" i="37"/>
  <c r="J16" i="37"/>
  <c r="I16" i="37"/>
  <c r="H16" i="37"/>
  <c r="G16" i="37"/>
  <c r="F16" i="37"/>
  <c r="E16" i="37"/>
  <c r="D16" i="37"/>
  <c r="C16" i="37"/>
  <c r="B16" i="37"/>
  <c r="C115" i="3"/>
  <c r="E115" i="3"/>
  <c r="F115" i="3"/>
  <c r="C116" i="3"/>
  <c r="E116" i="3"/>
  <c r="F116" i="3"/>
  <c r="C117" i="3"/>
  <c r="E117" i="3"/>
  <c r="F117" i="3" s="1"/>
  <c r="C118" i="3"/>
  <c r="E118" i="3"/>
  <c r="C119" i="3"/>
  <c r="E119" i="3"/>
  <c r="C120" i="3"/>
  <c r="E120" i="3"/>
  <c r="A114" i="13"/>
  <c r="A115" i="13" s="1"/>
  <c r="A116" i="13" s="1"/>
  <c r="A117" i="13" s="1"/>
  <c r="A118" i="13" s="1"/>
  <c r="A119" i="13" s="1"/>
  <c r="E115" i="13"/>
  <c r="E116" i="13"/>
  <c r="E117" i="13"/>
  <c r="E118" i="13"/>
  <c r="E119" i="13"/>
  <c r="D115" i="13"/>
  <c r="D116" i="13"/>
  <c r="D117" i="13"/>
  <c r="D118" i="13"/>
  <c r="D119" i="13"/>
  <c r="D120" i="13"/>
  <c r="E120" i="13" s="1"/>
  <c r="B37" i="37" l="1"/>
  <c r="C45" i="37" s="1"/>
  <c r="K55" i="37"/>
  <c r="E79" i="37"/>
  <c r="B86" i="37" s="1"/>
  <c r="M79" i="37"/>
  <c r="F32" i="37"/>
  <c r="B38" i="37" s="1"/>
  <c r="H34" i="37"/>
  <c r="D55" i="37"/>
  <c r="L55" i="37"/>
  <c r="H57" i="37"/>
  <c r="B77" i="37"/>
  <c r="J77" i="37"/>
  <c r="J55" i="37"/>
  <c r="C55" i="37"/>
  <c r="C77" i="37"/>
  <c r="H32" i="37"/>
  <c r="B34" i="37"/>
  <c r="J34" i="37"/>
  <c r="F55" i="37"/>
  <c r="B57" i="37"/>
  <c r="J57" i="37"/>
  <c r="B55" i="37"/>
  <c r="I32" i="37"/>
  <c r="C34" i="37"/>
  <c r="K34" i="37"/>
  <c r="G55" i="37"/>
  <c r="C57" i="37"/>
  <c r="K57" i="37"/>
  <c r="E77" i="37"/>
  <c r="M77" i="37"/>
  <c r="K77" i="37"/>
  <c r="D34" i="37"/>
  <c r="L34" i="37"/>
  <c r="E34" i="37"/>
  <c r="M34" i="37"/>
  <c r="F119" i="3"/>
  <c r="F118" i="3"/>
  <c r="F120" i="3"/>
  <c r="E114" i="7"/>
  <c r="E113" i="7"/>
  <c r="E112" i="7"/>
  <c r="F112" i="7" s="1"/>
  <c r="C114" i="7"/>
  <c r="C113" i="7"/>
  <c r="C112" i="7"/>
  <c r="G110" i="3"/>
  <c r="G111" i="3"/>
  <c r="G112" i="3"/>
  <c r="G113" i="3"/>
  <c r="G114" i="3"/>
  <c r="F112" i="3"/>
  <c r="F113" i="3"/>
  <c r="F114" i="3"/>
  <c r="E112" i="3"/>
  <c r="E113" i="3"/>
  <c r="E114" i="3"/>
  <c r="D112" i="13"/>
  <c r="E112" i="13" s="1"/>
  <c r="D113" i="13"/>
  <c r="D114" i="13"/>
  <c r="F79" i="36"/>
  <c r="J77" i="36"/>
  <c r="B77" i="36"/>
  <c r="B73" i="36"/>
  <c r="B72" i="36"/>
  <c r="B69" i="36"/>
  <c r="B68" i="36"/>
  <c r="H57" i="36"/>
  <c r="B50" i="36"/>
  <c r="B46" i="36"/>
  <c r="B45" i="36"/>
  <c r="H34" i="36"/>
  <c r="N32" i="36"/>
  <c r="F32" i="36"/>
  <c r="O26" i="36"/>
  <c r="O34" i="36" s="1"/>
  <c r="N26" i="36"/>
  <c r="N34" i="36" s="1"/>
  <c r="M26" i="36"/>
  <c r="M79" i="36" s="1"/>
  <c r="L26" i="36"/>
  <c r="L79" i="36" s="1"/>
  <c r="K26" i="36"/>
  <c r="K79" i="36" s="1"/>
  <c r="J26" i="36"/>
  <c r="J79" i="36" s="1"/>
  <c r="I26" i="36"/>
  <c r="I79" i="36" s="1"/>
  <c r="H26" i="36"/>
  <c r="H79" i="36" s="1"/>
  <c r="G26" i="36"/>
  <c r="G57" i="36" s="1"/>
  <c r="F26" i="36"/>
  <c r="F57" i="36" s="1"/>
  <c r="E26" i="36"/>
  <c r="E79" i="36" s="1"/>
  <c r="D26" i="36"/>
  <c r="D79" i="36" s="1"/>
  <c r="C26" i="36"/>
  <c r="C79" i="36" s="1"/>
  <c r="B26" i="36"/>
  <c r="B79" i="36" s="1"/>
  <c r="O25" i="36"/>
  <c r="N25" i="36"/>
  <c r="O24" i="36"/>
  <c r="O32" i="36" s="1"/>
  <c r="N24" i="36"/>
  <c r="M24" i="36"/>
  <c r="M32" i="36" s="1"/>
  <c r="L24" i="36"/>
  <c r="L32" i="36" s="1"/>
  <c r="K24" i="36"/>
  <c r="K55" i="36" s="1"/>
  <c r="J24" i="36"/>
  <c r="J55" i="36" s="1"/>
  <c r="I24" i="36"/>
  <c r="I77" i="36" s="1"/>
  <c r="H24" i="36"/>
  <c r="H77" i="36" s="1"/>
  <c r="G24" i="36"/>
  <c r="G77" i="36" s="1"/>
  <c r="F24" i="36"/>
  <c r="F77" i="36" s="1"/>
  <c r="E24" i="36"/>
  <c r="E32" i="36" s="1"/>
  <c r="D24" i="36"/>
  <c r="D32" i="36" s="1"/>
  <c r="C24" i="36"/>
  <c r="C55" i="36" s="1"/>
  <c r="B24" i="36"/>
  <c r="B55" i="36" s="1"/>
  <c r="O20" i="36"/>
  <c r="N20" i="36"/>
  <c r="O19" i="36"/>
  <c r="N19" i="36"/>
  <c r="O16" i="36"/>
  <c r="N16" i="36"/>
  <c r="M16" i="36"/>
  <c r="L16" i="36"/>
  <c r="K16" i="36"/>
  <c r="J16" i="36"/>
  <c r="I16" i="36"/>
  <c r="H16" i="36"/>
  <c r="G16" i="36"/>
  <c r="F16" i="36"/>
  <c r="E16" i="36"/>
  <c r="D16" i="36"/>
  <c r="C16" i="36"/>
  <c r="B16" i="36"/>
  <c r="C50" i="37" l="1"/>
  <c r="D50" i="37" s="1"/>
  <c r="C46" i="37"/>
  <c r="D46" i="37" s="1"/>
  <c r="C38" i="37"/>
  <c r="B83" i="37"/>
  <c r="B82" i="37"/>
  <c r="C87" i="37"/>
  <c r="B42" i="37"/>
  <c r="C42" i="37" s="1"/>
  <c r="B41" i="37"/>
  <c r="C86" i="37"/>
  <c r="B60" i="37"/>
  <c r="B61" i="37"/>
  <c r="B65" i="37"/>
  <c r="B64" i="37"/>
  <c r="B87" i="37"/>
  <c r="C83" i="37"/>
  <c r="C82" i="37"/>
  <c r="F114" i="7"/>
  <c r="F113" i="7"/>
  <c r="E113" i="13"/>
  <c r="E114" i="13"/>
  <c r="B61" i="36"/>
  <c r="B60" i="36"/>
  <c r="C86" i="36"/>
  <c r="D55" i="36"/>
  <c r="G32" i="36"/>
  <c r="I34" i="36"/>
  <c r="E55" i="36"/>
  <c r="M55" i="36"/>
  <c r="I57" i="36"/>
  <c r="C77" i="36"/>
  <c r="B82" i="36" s="1"/>
  <c r="K77" i="36"/>
  <c r="G79" i="36"/>
  <c r="B87" i="36" s="1"/>
  <c r="H32" i="36"/>
  <c r="B34" i="36"/>
  <c r="J34" i="36"/>
  <c r="F55" i="36"/>
  <c r="B57" i="36"/>
  <c r="J57" i="36"/>
  <c r="D77" i="36"/>
  <c r="L77" i="36"/>
  <c r="I32" i="36"/>
  <c r="C34" i="36"/>
  <c r="K34" i="36"/>
  <c r="G55" i="36"/>
  <c r="C57" i="36"/>
  <c r="K57" i="36"/>
  <c r="E77" i="36"/>
  <c r="M77" i="36"/>
  <c r="B83" i="36" s="1"/>
  <c r="B32" i="36"/>
  <c r="J32" i="36"/>
  <c r="D34" i="36"/>
  <c r="L34" i="36"/>
  <c r="H55" i="36"/>
  <c r="D57" i="36"/>
  <c r="L57" i="36"/>
  <c r="C32" i="36"/>
  <c r="K32" i="36"/>
  <c r="E34" i="36"/>
  <c r="M34" i="36"/>
  <c r="I55" i="36"/>
  <c r="E57" i="36"/>
  <c r="M57" i="36"/>
  <c r="L55" i="36"/>
  <c r="F34" i="36"/>
  <c r="G34" i="36"/>
  <c r="H79" i="35"/>
  <c r="H77" i="35"/>
  <c r="B73" i="35"/>
  <c r="B72" i="35"/>
  <c r="B69" i="35"/>
  <c r="B68" i="35"/>
  <c r="H57" i="35"/>
  <c r="B50" i="35"/>
  <c r="B46" i="35"/>
  <c r="B45" i="35"/>
  <c r="H34" i="35"/>
  <c r="N32" i="35"/>
  <c r="H32" i="35"/>
  <c r="F32" i="35"/>
  <c r="O26" i="35"/>
  <c r="O34" i="35" s="1"/>
  <c r="N26" i="35"/>
  <c r="N34" i="35" s="1"/>
  <c r="M26" i="35"/>
  <c r="M79" i="35" s="1"/>
  <c r="L26" i="35"/>
  <c r="L79" i="35" s="1"/>
  <c r="K26" i="35"/>
  <c r="K79" i="35" s="1"/>
  <c r="J26" i="35"/>
  <c r="J34" i="35" s="1"/>
  <c r="I26" i="35"/>
  <c r="I79" i="35" s="1"/>
  <c r="H26" i="35"/>
  <c r="G26" i="35"/>
  <c r="G57" i="35" s="1"/>
  <c r="F26" i="35"/>
  <c r="F57" i="35" s="1"/>
  <c r="E26" i="35"/>
  <c r="E79" i="35" s="1"/>
  <c r="D26" i="35"/>
  <c r="D79" i="35" s="1"/>
  <c r="C26" i="35"/>
  <c r="C79" i="35" s="1"/>
  <c r="B26" i="35"/>
  <c r="B57" i="35" s="1"/>
  <c r="O25" i="35"/>
  <c r="N25" i="35"/>
  <c r="O24" i="35"/>
  <c r="O32" i="35" s="1"/>
  <c r="N24" i="35"/>
  <c r="M24" i="35"/>
  <c r="M32" i="35" s="1"/>
  <c r="L24" i="35"/>
  <c r="L32" i="35" s="1"/>
  <c r="K24" i="35"/>
  <c r="K55" i="35" s="1"/>
  <c r="J24" i="35"/>
  <c r="J55" i="35" s="1"/>
  <c r="I24" i="35"/>
  <c r="I77" i="35" s="1"/>
  <c r="H24" i="35"/>
  <c r="H55" i="35" s="1"/>
  <c r="G24" i="35"/>
  <c r="G77" i="35" s="1"/>
  <c r="F24" i="35"/>
  <c r="F77" i="35" s="1"/>
  <c r="E24" i="35"/>
  <c r="E32" i="35" s="1"/>
  <c r="D24" i="35"/>
  <c r="D32" i="35" s="1"/>
  <c r="C24" i="35"/>
  <c r="C55" i="35" s="1"/>
  <c r="B24" i="35"/>
  <c r="B55" i="35" s="1"/>
  <c r="O20" i="35"/>
  <c r="N20" i="35"/>
  <c r="O19" i="35"/>
  <c r="N19" i="35"/>
  <c r="O16" i="35"/>
  <c r="N16" i="35"/>
  <c r="M16" i="35"/>
  <c r="L16" i="35"/>
  <c r="K16" i="35"/>
  <c r="J16" i="35"/>
  <c r="I16" i="35"/>
  <c r="H16" i="35"/>
  <c r="G16" i="35"/>
  <c r="F16" i="35"/>
  <c r="E16" i="35"/>
  <c r="D16" i="35"/>
  <c r="C16" i="35"/>
  <c r="B16" i="35"/>
  <c r="E104" i="7"/>
  <c r="E105" i="7"/>
  <c r="E106" i="7"/>
  <c r="E107" i="7"/>
  <c r="E108" i="7"/>
  <c r="F108" i="7" s="1"/>
  <c r="E109" i="7"/>
  <c r="F109" i="7" s="1"/>
  <c r="E110" i="7"/>
  <c r="E111" i="7"/>
  <c r="C111" i="7"/>
  <c r="C110" i="7"/>
  <c r="C109" i="7"/>
  <c r="C108" i="7"/>
  <c r="D103" i="13"/>
  <c r="D104" i="13"/>
  <c r="D105" i="13"/>
  <c r="D106" i="13"/>
  <c r="D107" i="13"/>
  <c r="D108" i="13"/>
  <c r="D109" i="13"/>
  <c r="D110" i="13"/>
  <c r="D111" i="13"/>
  <c r="E102" i="3"/>
  <c r="E103" i="3"/>
  <c r="E104" i="3"/>
  <c r="E105" i="3"/>
  <c r="E106" i="3"/>
  <c r="E107" i="3"/>
  <c r="E108" i="3"/>
  <c r="F108" i="3" s="1"/>
  <c r="E109" i="3"/>
  <c r="E110" i="3"/>
  <c r="E111" i="3"/>
  <c r="C94" i="37" l="1"/>
  <c r="C90" i="37"/>
  <c r="B94" i="37"/>
  <c r="B90" i="37"/>
  <c r="B91" i="37"/>
  <c r="B95" i="37"/>
  <c r="C91" i="37"/>
  <c r="C95" i="37"/>
  <c r="C69" i="37"/>
  <c r="C73" i="37"/>
  <c r="B95" i="36"/>
  <c r="B91" i="36"/>
  <c r="B94" i="36"/>
  <c r="B90" i="36"/>
  <c r="C73" i="36"/>
  <c r="C69" i="36"/>
  <c r="B37" i="36"/>
  <c r="C45" i="36" s="1"/>
  <c r="B38" i="36"/>
  <c r="B42" i="36"/>
  <c r="C42" i="36" s="1"/>
  <c r="B41" i="36"/>
  <c r="B86" i="36"/>
  <c r="C83" i="36"/>
  <c r="C82" i="36"/>
  <c r="B64" i="36"/>
  <c r="B65" i="36"/>
  <c r="C87" i="36"/>
  <c r="B64" i="35"/>
  <c r="C87" i="35"/>
  <c r="C86" i="35"/>
  <c r="D55" i="35"/>
  <c r="B61" i="35" s="1"/>
  <c r="L55" i="35"/>
  <c r="B77" i="35"/>
  <c r="J77" i="35"/>
  <c r="F79" i="35"/>
  <c r="G32" i="35"/>
  <c r="I34" i="35"/>
  <c r="E55" i="35"/>
  <c r="M55" i="35"/>
  <c r="I57" i="35"/>
  <c r="C77" i="35"/>
  <c r="K77" i="35"/>
  <c r="G79" i="35"/>
  <c r="B34" i="35"/>
  <c r="F55" i="35"/>
  <c r="L77" i="35"/>
  <c r="I32" i="35"/>
  <c r="C34" i="35"/>
  <c r="K34" i="35"/>
  <c r="G55" i="35"/>
  <c r="C57" i="35"/>
  <c r="K57" i="35"/>
  <c r="E77" i="35"/>
  <c r="M77" i="35"/>
  <c r="J57" i="35"/>
  <c r="B32" i="35"/>
  <c r="J32" i="35"/>
  <c r="D34" i="35"/>
  <c r="L34" i="35"/>
  <c r="D57" i="35"/>
  <c r="L57" i="35"/>
  <c r="B79" i="35"/>
  <c r="J79" i="35"/>
  <c r="D77" i="35"/>
  <c r="C32" i="35"/>
  <c r="K32" i="35"/>
  <c r="E34" i="35"/>
  <c r="M34" i="35"/>
  <c r="I55" i="35"/>
  <c r="E57" i="35"/>
  <c r="B65" i="35" s="1"/>
  <c r="M57" i="35"/>
  <c r="F34" i="35"/>
  <c r="G34" i="35"/>
  <c r="F111" i="7"/>
  <c r="F110" i="7"/>
  <c r="F111" i="3"/>
  <c r="F110" i="3"/>
  <c r="F109" i="3"/>
  <c r="C107" i="7"/>
  <c r="C106" i="7"/>
  <c r="C105" i="7"/>
  <c r="C107" i="3"/>
  <c r="C106" i="3"/>
  <c r="A107" i="13"/>
  <c r="A106" i="13"/>
  <c r="A105" i="13"/>
  <c r="E107" i="13"/>
  <c r="E106" i="13"/>
  <c r="E105" i="13"/>
  <c r="C107" i="13"/>
  <c r="C106" i="13"/>
  <c r="C105" i="13"/>
  <c r="M79" i="34"/>
  <c r="L79" i="34"/>
  <c r="I79" i="34"/>
  <c r="H79" i="34"/>
  <c r="E79" i="34"/>
  <c r="D79" i="34"/>
  <c r="I77" i="34"/>
  <c r="H77" i="34"/>
  <c r="B73" i="34"/>
  <c r="B72" i="34"/>
  <c r="B69" i="34"/>
  <c r="B68" i="34"/>
  <c r="I57" i="34"/>
  <c r="H57" i="34"/>
  <c r="G57" i="34"/>
  <c r="F57" i="34"/>
  <c r="B50" i="34"/>
  <c r="B46" i="34"/>
  <c r="B45" i="34"/>
  <c r="O34" i="34"/>
  <c r="N34" i="34"/>
  <c r="I34" i="34"/>
  <c r="H34" i="34"/>
  <c r="G34" i="34"/>
  <c r="F34" i="34"/>
  <c r="M32" i="34"/>
  <c r="L32" i="34"/>
  <c r="I32" i="34"/>
  <c r="H32" i="34"/>
  <c r="E32" i="34"/>
  <c r="D32" i="34"/>
  <c r="O26" i="34"/>
  <c r="N26" i="34"/>
  <c r="M26" i="34"/>
  <c r="M57" i="34" s="1"/>
  <c r="L26" i="34"/>
  <c r="L57" i="34" s="1"/>
  <c r="K26" i="34"/>
  <c r="K79" i="34" s="1"/>
  <c r="J26" i="34"/>
  <c r="J79" i="34" s="1"/>
  <c r="I26" i="34"/>
  <c r="H26" i="34"/>
  <c r="G26" i="34"/>
  <c r="G79" i="34" s="1"/>
  <c r="F26" i="34"/>
  <c r="F79" i="34" s="1"/>
  <c r="E26" i="34"/>
  <c r="E57" i="34" s="1"/>
  <c r="D26" i="34"/>
  <c r="D57" i="34" s="1"/>
  <c r="C26" i="34"/>
  <c r="C79" i="34" s="1"/>
  <c r="B26" i="34"/>
  <c r="B79" i="34" s="1"/>
  <c r="O25" i="34"/>
  <c r="N25" i="34"/>
  <c r="O24" i="34"/>
  <c r="O32" i="34" s="1"/>
  <c r="N24" i="34"/>
  <c r="N32" i="34" s="1"/>
  <c r="M24" i="34"/>
  <c r="M77" i="34" s="1"/>
  <c r="L24" i="34"/>
  <c r="L77" i="34" s="1"/>
  <c r="K24" i="34"/>
  <c r="K32" i="34" s="1"/>
  <c r="J24" i="34"/>
  <c r="J32" i="34" s="1"/>
  <c r="I24" i="34"/>
  <c r="I55" i="34" s="1"/>
  <c r="H24" i="34"/>
  <c r="H55" i="34" s="1"/>
  <c r="G24" i="34"/>
  <c r="G77" i="34" s="1"/>
  <c r="F24" i="34"/>
  <c r="F55" i="34" s="1"/>
  <c r="E24" i="34"/>
  <c r="E77" i="34" s="1"/>
  <c r="D24" i="34"/>
  <c r="D77" i="34" s="1"/>
  <c r="C24" i="34"/>
  <c r="C32" i="34" s="1"/>
  <c r="B24" i="34"/>
  <c r="B32" i="34" s="1"/>
  <c r="O20" i="34"/>
  <c r="N20" i="34"/>
  <c r="O19" i="34"/>
  <c r="N19" i="34"/>
  <c r="O16" i="34"/>
  <c r="N16" i="34"/>
  <c r="M16" i="34"/>
  <c r="L16" i="34"/>
  <c r="K16" i="34"/>
  <c r="J16" i="34"/>
  <c r="I16" i="34"/>
  <c r="H16" i="34"/>
  <c r="G16" i="34"/>
  <c r="F16" i="34"/>
  <c r="E16" i="34"/>
  <c r="D16" i="34"/>
  <c r="C16" i="34"/>
  <c r="B16" i="34"/>
  <c r="C50" i="36" l="1"/>
  <c r="D50" i="36" s="1"/>
  <c r="C38" i="36"/>
  <c r="C46" i="36"/>
  <c r="D46" i="36" s="1"/>
  <c r="C95" i="36"/>
  <c r="C91" i="36"/>
  <c r="C94" i="36"/>
  <c r="C90" i="36"/>
  <c r="C73" i="35"/>
  <c r="C69" i="35"/>
  <c r="B37" i="35"/>
  <c r="C45" i="35" s="1"/>
  <c r="B38" i="35"/>
  <c r="B42" i="35"/>
  <c r="C42" i="35" s="1"/>
  <c r="B41" i="35"/>
  <c r="B60" i="35"/>
  <c r="B87" i="35"/>
  <c r="B86" i="35"/>
  <c r="C83" i="35"/>
  <c r="C82" i="35"/>
  <c r="B83" i="35"/>
  <c r="B82" i="35"/>
  <c r="C86" i="34"/>
  <c r="C87" i="34"/>
  <c r="B87" i="34"/>
  <c r="B86" i="34"/>
  <c r="J55" i="34"/>
  <c r="F32" i="34"/>
  <c r="B38" i="34" s="1"/>
  <c r="D55" i="34"/>
  <c r="L55" i="34"/>
  <c r="B77" i="34"/>
  <c r="J77" i="34"/>
  <c r="G32" i="34"/>
  <c r="E55" i="34"/>
  <c r="M55" i="34"/>
  <c r="C77" i="34"/>
  <c r="K77" i="34"/>
  <c r="B55" i="34"/>
  <c r="K55" i="34"/>
  <c r="B34" i="34"/>
  <c r="J34" i="34"/>
  <c r="B57" i="34"/>
  <c r="J57" i="34"/>
  <c r="C34" i="34"/>
  <c r="D34" i="34"/>
  <c r="L34" i="34"/>
  <c r="F77" i="34"/>
  <c r="C55" i="34"/>
  <c r="K34" i="34"/>
  <c r="G55" i="34"/>
  <c r="C57" i="34"/>
  <c r="K57" i="34"/>
  <c r="E34" i="34"/>
  <c r="M34" i="34"/>
  <c r="F104" i="7"/>
  <c r="F103" i="7"/>
  <c r="E103" i="7"/>
  <c r="C104" i="7"/>
  <c r="C103" i="7"/>
  <c r="A104" i="13"/>
  <c r="A103" i="13"/>
  <c r="E102" i="13"/>
  <c r="C95" i="35" l="1"/>
  <c r="C91" i="35"/>
  <c r="B95" i="35"/>
  <c r="B91" i="35"/>
  <c r="C50" i="35"/>
  <c r="D50" i="35" s="1"/>
  <c r="C38" i="35"/>
  <c r="C46" i="35"/>
  <c r="D46" i="35" s="1"/>
  <c r="B94" i="35"/>
  <c r="B90" i="35"/>
  <c r="C94" i="35"/>
  <c r="C90" i="35"/>
  <c r="C38" i="34"/>
  <c r="C50" i="34"/>
  <c r="D50" i="34" s="1"/>
  <c r="C46" i="34"/>
  <c r="D46" i="34" s="1"/>
  <c r="C83" i="34"/>
  <c r="C82" i="34"/>
  <c r="B65" i="34"/>
  <c r="B64" i="34"/>
  <c r="B42" i="34"/>
  <c r="C42" i="34" s="1"/>
  <c r="B41" i="34"/>
  <c r="B83" i="34"/>
  <c r="B82" i="34"/>
  <c r="B60" i="34"/>
  <c r="B61" i="34"/>
  <c r="B37" i="34"/>
  <c r="C45" i="34" s="1"/>
  <c r="F102" i="7"/>
  <c r="F101" i="7"/>
  <c r="E102" i="7"/>
  <c r="E101" i="7"/>
  <c r="C102" i="7"/>
  <c r="C101" i="7"/>
  <c r="C69" i="34" l="1"/>
  <c r="C73" i="34"/>
  <c r="C95" i="34"/>
  <c r="C91" i="34"/>
  <c r="B94" i="34"/>
  <c r="B90" i="34"/>
  <c r="C94" i="34"/>
  <c r="C90" i="34"/>
  <c r="B95" i="34"/>
  <c r="B91" i="34"/>
  <c r="C102" i="3"/>
  <c r="C101" i="3"/>
  <c r="F102" i="3"/>
  <c r="D102" i="13"/>
  <c r="C102" i="13"/>
  <c r="E101" i="13"/>
  <c r="D101" i="13"/>
  <c r="C101" i="13"/>
  <c r="F79" i="33"/>
  <c r="J77" i="33"/>
  <c r="B77" i="33"/>
  <c r="B73" i="33"/>
  <c r="B72" i="33"/>
  <c r="B69" i="33"/>
  <c r="B68" i="33"/>
  <c r="H57" i="33"/>
  <c r="B50" i="33"/>
  <c r="B46" i="33"/>
  <c r="B45" i="33"/>
  <c r="H34" i="33"/>
  <c r="N32" i="33"/>
  <c r="F32" i="33"/>
  <c r="O26" i="33"/>
  <c r="O34" i="33" s="1"/>
  <c r="N26" i="33"/>
  <c r="N34" i="33" s="1"/>
  <c r="M26" i="33"/>
  <c r="M79" i="33" s="1"/>
  <c r="L26" i="33"/>
  <c r="L79" i="33" s="1"/>
  <c r="K26" i="33"/>
  <c r="K79" i="33" s="1"/>
  <c r="J26" i="33"/>
  <c r="J79" i="33" s="1"/>
  <c r="I26" i="33"/>
  <c r="I79" i="33" s="1"/>
  <c r="H26" i="33"/>
  <c r="H79" i="33" s="1"/>
  <c r="G26" i="33"/>
  <c r="G57" i="33" s="1"/>
  <c r="F26" i="33"/>
  <c r="F57" i="33" s="1"/>
  <c r="E26" i="33"/>
  <c r="E79" i="33" s="1"/>
  <c r="D26" i="33"/>
  <c r="D79" i="33" s="1"/>
  <c r="C26" i="33"/>
  <c r="C79" i="33" s="1"/>
  <c r="B26" i="33"/>
  <c r="B79" i="33" s="1"/>
  <c r="O25" i="33"/>
  <c r="N25" i="33"/>
  <c r="O24" i="33"/>
  <c r="O32" i="33" s="1"/>
  <c r="N24" i="33"/>
  <c r="M24" i="33"/>
  <c r="M32" i="33" s="1"/>
  <c r="L24" i="33"/>
  <c r="L32" i="33" s="1"/>
  <c r="K24" i="33"/>
  <c r="K55" i="33" s="1"/>
  <c r="J24" i="33"/>
  <c r="J55" i="33" s="1"/>
  <c r="I24" i="33"/>
  <c r="I77" i="33" s="1"/>
  <c r="H24" i="33"/>
  <c r="H77" i="33" s="1"/>
  <c r="G24" i="33"/>
  <c r="G77" i="33" s="1"/>
  <c r="F24" i="33"/>
  <c r="F77" i="33" s="1"/>
  <c r="E24" i="33"/>
  <c r="E32" i="33" s="1"/>
  <c r="D24" i="33"/>
  <c r="D32" i="33" s="1"/>
  <c r="C24" i="33"/>
  <c r="C55" i="33" s="1"/>
  <c r="B24" i="33"/>
  <c r="B55" i="33" s="1"/>
  <c r="O20" i="33"/>
  <c r="N20" i="33"/>
  <c r="O19" i="33"/>
  <c r="N19" i="33"/>
  <c r="O16" i="33"/>
  <c r="N16" i="33"/>
  <c r="M16" i="33"/>
  <c r="L16" i="33"/>
  <c r="K16" i="33"/>
  <c r="J16" i="33"/>
  <c r="I16" i="33"/>
  <c r="H16" i="33"/>
  <c r="G16" i="33"/>
  <c r="F16" i="33"/>
  <c r="E16" i="33"/>
  <c r="D16" i="33"/>
  <c r="C16" i="33"/>
  <c r="B16" i="33"/>
  <c r="G32" i="33" l="1"/>
  <c r="I34" i="33"/>
  <c r="E55" i="33"/>
  <c r="B60" i="33" s="1"/>
  <c r="M55" i="33"/>
  <c r="I57" i="33"/>
  <c r="C77" i="33"/>
  <c r="K77" i="33"/>
  <c r="G79" i="33"/>
  <c r="B87" i="33" s="1"/>
  <c r="H32" i="33"/>
  <c r="B34" i="33"/>
  <c r="J34" i="33"/>
  <c r="F55" i="33"/>
  <c r="B57" i="33"/>
  <c r="J57" i="33"/>
  <c r="D77" i="33"/>
  <c r="B83" i="33" s="1"/>
  <c r="L77" i="33"/>
  <c r="D55" i="33"/>
  <c r="B61" i="33" s="1"/>
  <c r="I32" i="33"/>
  <c r="C34" i="33"/>
  <c r="K34" i="33"/>
  <c r="G55" i="33"/>
  <c r="C57" i="33"/>
  <c r="K57" i="33"/>
  <c r="E77" i="33"/>
  <c r="M77" i="33"/>
  <c r="B32" i="33"/>
  <c r="J32" i="33"/>
  <c r="D34" i="33"/>
  <c r="L34" i="33"/>
  <c r="H55" i="33"/>
  <c r="D57" i="33"/>
  <c r="L57" i="33"/>
  <c r="C32" i="33"/>
  <c r="K32" i="33"/>
  <c r="E34" i="33"/>
  <c r="M34" i="33"/>
  <c r="I55" i="33"/>
  <c r="E57" i="33"/>
  <c r="M57" i="33"/>
  <c r="L55" i="33"/>
  <c r="F34" i="33"/>
  <c r="G34" i="33"/>
  <c r="B100" i="3"/>
  <c r="E100" i="3" s="1"/>
  <c r="F101" i="3" s="1"/>
  <c r="E101" i="3"/>
  <c r="M79" i="32"/>
  <c r="L79" i="32"/>
  <c r="I79" i="32"/>
  <c r="H79" i="32"/>
  <c r="E79" i="32"/>
  <c r="D79" i="32"/>
  <c r="M77" i="32"/>
  <c r="I77" i="32"/>
  <c r="H77" i="32"/>
  <c r="E77" i="32"/>
  <c r="B73" i="32"/>
  <c r="B72" i="32"/>
  <c r="B69" i="32"/>
  <c r="B68" i="32"/>
  <c r="H57" i="32"/>
  <c r="G57" i="32"/>
  <c r="F57" i="32"/>
  <c r="B50" i="32"/>
  <c r="B46" i="32"/>
  <c r="B45" i="32"/>
  <c r="O34" i="32"/>
  <c r="N34" i="32"/>
  <c r="H34" i="32"/>
  <c r="G34" i="32"/>
  <c r="F34" i="32"/>
  <c r="M32" i="32"/>
  <c r="L32" i="32"/>
  <c r="I32" i="32"/>
  <c r="H32" i="32"/>
  <c r="E32" i="32"/>
  <c r="D32" i="32"/>
  <c r="O26" i="32"/>
  <c r="N26" i="32"/>
  <c r="M26" i="32"/>
  <c r="M57" i="32" s="1"/>
  <c r="L26" i="32"/>
  <c r="L57" i="32" s="1"/>
  <c r="K26" i="32"/>
  <c r="K79" i="32" s="1"/>
  <c r="J26" i="32"/>
  <c r="J57" i="32" s="1"/>
  <c r="I26" i="32"/>
  <c r="I57" i="32" s="1"/>
  <c r="H26" i="32"/>
  <c r="G26" i="32"/>
  <c r="G79" i="32" s="1"/>
  <c r="F26" i="32"/>
  <c r="F79" i="32" s="1"/>
  <c r="E26" i="32"/>
  <c r="E57" i="32" s="1"/>
  <c r="D26" i="32"/>
  <c r="D57" i="32" s="1"/>
  <c r="C26" i="32"/>
  <c r="C79" i="32" s="1"/>
  <c r="B26" i="32"/>
  <c r="B79" i="32" s="1"/>
  <c r="O25" i="32"/>
  <c r="O24" i="32"/>
  <c r="O32" i="32" s="1"/>
  <c r="N24" i="32"/>
  <c r="N32" i="32" s="1"/>
  <c r="M24" i="32"/>
  <c r="M55" i="32" s="1"/>
  <c r="L24" i="32"/>
  <c r="L77" i="32" s="1"/>
  <c r="K24" i="32"/>
  <c r="K55" i="32" s="1"/>
  <c r="J24" i="32"/>
  <c r="J32" i="32" s="1"/>
  <c r="I24" i="32"/>
  <c r="I55" i="32" s="1"/>
  <c r="H24" i="32"/>
  <c r="H55" i="32" s="1"/>
  <c r="G24" i="32"/>
  <c r="G77" i="32" s="1"/>
  <c r="F24" i="32"/>
  <c r="F55" i="32" s="1"/>
  <c r="E24" i="32"/>
  <c r="E55" i="32" s="1"/>
  <c r="D24" i="32"/>
  <c r="D77" i="32" s="1"/>
  <c r="C24" i="32"/>
  <c r="C32" i="32" s="1"/>
  <c r="B24" i="32"/>
  <c r="B32" i="32" s="1"/>
  <c r="O20" i="32"/>
  <c r="N20" i="32"/>
  <c r="O19" i="32"/>
  <c r="N19" i="32"/>
  <c r="O16" i="32"/>
  <c r="N16" i="32"/>
  <c r="M16" i="32"/>
  <c r="L16" i="32"/>
  <c r="K16" i="32"/>
  <c r="J16" i="32"/>
  <c r="I16" i="32"/>
  <c r="H16" i="32"/>
  <c r="G16" i="32"/>
  <c r="F16" i="32"/>
  <c r="E16" i="32"/>
  <c r="D16" i="32"/>
  <c r="C16" i="32"/>
  <c r="B16" i="32"/>
  <c r="N10" i="32"/>
  <c r="N25" i="32" s="1"/>
  <c r="B95" i="33" l="1"/>
  <c r="B91" i="33"/>
  <c r="C73" i="33"/>
  <c r="C69" i="33"/>
  <c r="B82" i="33"/>
  <c r="C83" i="33"/>
  <c r="C82" i="33"/>
  <c r="C86" i="33"/>
  <c r="B65" i="33"/>
  <c r="B64" i="33"/>
  <c r="C87" i="33"/>
  <c r="B86" i="33"/>
  <c r="B37" i="33"/>
  <c r="C45" i="33" s="1"/>
  <c r="B38" i="33"/>
  <c r="B42" i="33"/>
  <c r="C42" i="33" s="1"/>
  <c r="B41" i="33"/>
  <c r="B38" i="32"/>
  <c r="C55" i="32"/>
  <c r="F32" i="32"/>
  <c r="B37" i="32" s="1"/>
  <c r="C45" i="32" s="1"/>
  <c r="D55" i="32"/>
  <c r="L55" i="32"/>
  <c r="B77" i="32"/>
  <c r="J77" i="32"/>
  <c r="G32" i="32"/>
  <c r="I34" i="32"/>
  <c r="C77" i="32"/>
  <c r="K77" i="32"/>
  <c r="J55" i="32"/>
  <c r="B34" i="32"/>
  <c r="C34" i="32"/>
  <c r="C57" i="32"/>
  <c r="B55" i="32"/>
  <c r="B57" i="32"/>
  <c r="G55" i="32"/>
  <c r="D34" i="32"/>
  <c r="L34" i="32"/>
  <c r="F77" i="32"/>
  <c r="J79" i="32"/>
  <c r="C86" i="32" s="1"/>
  <c r="J34" i="32"/>
  <c r="K34" i="32"/>
  <c r="K57" i="32"/>
  <c r="K32" i="32"/>
  <c r="E34" i="32"/>
  <c r="M34" i="32"/>
  <c r="C94" i="33" l="1"/>
  <c r="C90" i="33"/>
  <c r="C95" i="33"/>
  <c r="C91" i="33"/>
  <c r="B94" i="33"/>
  <c r="B90" i="33"/>
  <c r="C50" i="33"/>
  <c r="D50" i="33" s="1"/>
  <c r="C38" i="33"/>
  <c r="C46" i="33"/>
  <c r="D46" i="33" s="1"/>
  <c r="B83" i="32"/>
  <c r="B82" i="32"/>
  <c r="B42" i="32"/>
  <c r="C42" i="32" s="1"/>
  <c r="B41" i="32"/>
  <c r="B86" i="32"/>
  <c r="C50" i="32"/>
  <c r="D50" i="32" s="1"/>
  <c r="C38" i="32"/>
  <c r="C46" i="32"/>
  <c r="D46" i="32" s="1"/>
  <c r="B87" i="32"/>
  <c r="C83" i="32"/>
  <c r="C82" i="32"/>
  <c r="B65" i="32"/>
  <c r="B64" i="32"/>
  <c r="B61" i="32"/>
  <c r="B60" i="32"/>
  <c r="C87" i="32"/>
  <c r="C95" i="32" l="1"/>
  <c r="C91" i="32"/>
  <c r="C94" i="32"/>
  <c r="C90" i="32"/>
  <c r="B94" i="32"/>
  <c r="B90" i="32"/>
  <c r="C73" i="32"/>
  <c r="C69" i="32"/>
  <c r="B95" i="32"/>
  <c r="B91" i="32"/>
  <c r="F99" i="7" l="1"/>
  <c r="F100" i="7"/>
  <c r="E100" i="7"/>
  <c r="E99" i="7"/>
  <c r="E98" i="7"/>
  <c r="C100" i="7"/>
  <c r="C99" i="7"/>
  <c r="C98" i="7"/>
  <c r="F100" i="3"/>
  <c r="A100" i="13"/>
  <c r="C100" i="13"/>
  <c r="D100" i="13"/>
  <c r="E100" i="13"/>
  <c r="M79" i="31"/>
  <c r="L79" i="31"/>
  <c r="I79" i="31"/>
  <c r="H79" i="31"/>
  <c r="E79" i="31"/>
  <c r="D79" i="31"/>
  <c r="M77" i="31"/>
  <c r="L77" i="31"/>
  <c r="I77" i="31"/>
  <c r="H77" i="31"/>
  <c r="E77" i="31"/>
  <c r="D77" i="31"/>
  <c r="B73" i="31"/>
  <c r="B72" i="31"/>
  <c r="B69" i="31"/>
  <c r="B68" i="31"/>
  <c r="H57" i="31"/>
  <c r="G57" i="31"/>
  <c r="F57" i="31"/>
  <c r="B50" i="31"/>
  <c r="B46" i="31"/>
  <c r="B45" i="31"/>
  <c r="O34" i="31"/>
  <c r="N34" i="31"/>
  <c r="H34" i="31"/>
  <c r="G34" i="31"/>
  <c r="F34" i="31"/>
  <c r="M32" i="31"/>
  <c r="L32" i="31"/>
  <c r="I32" i="31"/>
  <c r="H32" i="31"/>
  <c r="E32" i="31"/>
  <c r="D32" i="31"/>
  <c r="O26" i="31"/>
  <c r="N26" i="31"/>
  <c r="M26" i="31"/>
  <c r="M57" i="31" s="1"/>
  <c r="L26" i="31"/>
  <c r="L57" i="31" s="1"/>
  <c r="K26" i="31"/>
  <c r="K79" i="31" s="1"/>
  <c r="J26" i="31"/>
  <c r="J34" i="31" s="1"/>
  <c r="I26" i="31"/>
  <c r="I57" i="31" s="1"/>
  <c r="H26" i="31"/>
  <c r="G26" i="31"/>
  <c r="G79" i="31" s="1"/>
  <c r="F26" i="31"/>
  <c r="F79" i="31" s="1"/>
  <c r="E26" i="31"/>
  <c r="E57" i="31" s="1"/>
  <c r="D26" i="31"/>
  <c r="D57" i="31" s="1"/>
  <c r="C26" i="31"/>
  <c r="C79" i="31" s="1"/>
  <c r="B26" i="31"/>
  <c r="B57" i="31" s="1"/>
  <c r="O25" i="31"/>
  <c r="O24" i="31"/>
  <c r="O32" i="31" s="1"/>
  <c r="N24" i="31"/>
  <c r="N32" i="31" s="1"/>
  <c r="M24" i="31"/>
  <c r="M55" i="31" s="1"/>
  <c r="L24" i="31"/>
  <c r="L55" i="31" s="1"/>
  <c r="K24" i="31"/>
  <c r="K32" i="31" s="1"/>
  <c r="J24" i="31"/>
  <c r="J32" i="31" s="1"/>
  <c r="I24" i="31"/>
  <c r="I55" i="31" s="1"/>
  <c r="H24" i="31"/>
  <c r="H55" i="31" s="1"/>
  <c r="G24" i="31"/>
  <c r="G77" i="31" s="1"/>
  <c r="F24" i="31"/>
  <c r="F77" i="31" s="1"/>
  <c r="E24" i="31"/>
  <c r="E55" i="31" s="1"/>
  <c r="D24" i="31"/>
  <c r="D55" i="31" s="1"/>
  <c r="C24" i="31"/>
  <c r="C32" i="31" s="1"/>
  <c r="B24" i="31"/>
  <c r="B55" i="31" s="1"/>
  <c r="O20" i="31"/>
  <c r="N20" i="31"/>
  <c r="O19" i="31"/>
  <c r="N19" i="31"/>
  <c r="O16" i="31"/>
  <c r="N16" i="31"/>
  <c r="M16" i="31"/>
  <c r="L16" i="31"/>
  <c r="K16" i="31"/>
  <c r="J16" i="31"/>
  <c r="I16" i="31"/>
  <c r="H16" i="31"/>
  <c r="G16" i="31"/>
  <c r="F16" i="31"/>
  <c r="E16" i="31"/>
  <c r="D16" i="31"/>
  <c r="C16" i="31"/>
  <c r="B16" i="31"/>
  <c r="N10" i="31"/>
  <c r="N25" i="31" s="1"/>
  <c r="C86" i="31" l="1"/>
  <c r="C87" i="31"/>
  <c r="J55" i="31"/>
  <c r="C55" i="31"/>
  <c r="B60" i="31" s="1"/>
  <c r="K55" i="31"/>
  <c r="F32" i="31"/>
  <c r="B77" i="31"/>
  <c r="J77" i="31"/>
  <c r="G32" i="31"/>
  <c r="I34" i="31"/>
  <c r="C77" i="31"/>
  <c r="K77" i="31"/>
  <c r="B34" i="31"/>
  <c r="F55" i="31"/>
  <c r="J57" i="31"/>
  <c r="G55" i="31"/>
  <c r="K57" i="31"/>
  <c r="B32" i="31"/>
  <c r="D34" i="31"/>
  <c r="L34" i="31"/>
  <c r="B79" i="31"/>
  <c r="J79" i="31"/>
  <c r="C34" i="31"/>
  <c r="K34" i="31"/>
  <c r="C57" i="31"/>
  <c r="B65" i="31" s="1"/>
  <c r="E34" i="31"/>
  <c r="M34" i="31"/>
  <c r="H79" i="30"/>
  <c r="H77" i="30"/>
  <c r="B73" i="30"/>
  <c r="B72" i="30"/>
  <c r="B69" i="30"/>
  <c r="B68" i="30"/>
  <c r="H57" i="30"/>
  <c r="B50" i="30"/>
  <c r="B46" i="30"/>
  <c r="B45" i="30"/>
  <c r="K34" i="30"/>
  <c r="H34" i="30"/>
  <c r="C34" i="30"/>
  <c r="N32" i="30"/>
  <c r="I32" i="30"/>
  <c r="H32" i="30"/>
  <c r="F32" i="30"/>
  <c r="O26" i="30"/>
  <c r="O34" i="30" s="1"/>
  <c r="N26" i="30"/>
  <c r="N34" i="30" s="1"/>
  <c r="M26" i="30"/>
  <c r="M79" i="30" s="1"/>
  <c r="L26" i="30"/>
  <c r="L79" i="30" s="1"/>
  <c r="K26" i="30"/>
  <c r="K79" i="30" s="1"/>
  <c r="J26" i="30"/>
  <c r="J79" i="30" s="1"/>
  <c r="I26" i="30"/>
  <c r="I79" i="30" s="1"/>
  <c r="H26" i="30"/>
  <c r="G26" i="30"/>
  <c r="G57" i="30" s="1"/>
  <c r="F26" i="30"/>
  <c r="F57" i="30" s="1"/>
  <c r="E26" i="30"/>
  <c r="E79" i="30" s="1"/>
  <c r="D26" i="30"/>
  <c r="D79" i="30" s="1"/>
  <c r="C26" i="30"/>
  <c r="C79" i="30" s="1"/>
  <c r="B26" i="30"/>
  <c r="B57" i="30" s="1"/>
  <c r="O25" i="30"/>
  <c r="O24" i="30"/>
  <c r="O32" i="30" s="1"/>
  <c r="N24" i="30"/>
  <c r="M24" i="30"/>
  <c r="M32" i="30" s="1"/>
  <c r="L24" i="30"/>
  <c r="L32" i="30" s="1"/>
  <c r="K24" i="30"/>
  <c r="K55" i="30" s="1"/>
  <c r="J24" i="30"/>
  <c r="J55" i="30" s="1"/>
  <c r="I24" i="30"/>
  <c r="I77" i="30" s="1"/>
  <c r="H24" i="30"/>
  <c r="H55" i="30" s="1"/>
  <c r="G24" i="30"/>
  <c r="G77" i="30" s="1"/>
  <c r="F24" i="30"/>
  <c r="F77" i="30" s="1"/>
  <c r="E24" i="30"/>
  <c r="E32" i="30" s="1"/>
  <c r="D24" i="30"/>
  <c r="D32" i="30" s="1"/>
  <c r="C24" i="30"/>
  <c r="C55" i="30" s="1"/>
  <c r="B24" i="30"/>
  <c r="B55" i="30" s="1"/>
  <c r="O20" i="30"/>
  <c r="N20" i="30"/>
  <c r="O19" i="30"/>
  <c r="N19" i="30"/>
  <c r="O16" i="30"/>
  <c r="N16" i="30"/>
  <c r="M16" i="30"/>
  <c r="L16" i="30"/>
  <c r="K16" i="30"/>
  <c r="J16" i="30"/>
  <c r="I16" i="30"/>
  <c r="H16" i="30"/>
  <c r="G16" i="30"/>
  <c r="F16" i="30"/>
  <c r="E16" i="30"/>
  <c r="D16" i="30"/>
  <c r="C16" i="30"/>
  <c r="B16" i="30"/>
  <c r="N10" i="30"/>
  <c r="N25" i="30" s="1"/>
  <c r="F99" i="3"/>
  <c r="E99" i="3"/>
  <c r="C99" i="3"/>
  <c r="C83" i="31" l="1"/>
  <c r="C82" i="31"/>
  <c r="B38" i="31"/>
  <c r="B37" i="31"/>
  <c r="C45" i="31" s="1"/>
  <c r="B64" i="31"/>
  <c r="B61" i="31"/>
  <c r="B83" i="31"/>
  <c r="B82" i="31"/>
  <c r="B87" i="31"/>
  <c r="B86" i="31"/>
  <c r="B42" i="31"/>
  <c r="C42" i="31" s="1"/>
  <c r="B41" i="31"/>
  <c r="D55" i="30"/>
  <c r="L55" i="30"/>
  <c r="B77" i="30"/>
  <c r="J77" i="30"/>
  <c r="F79" i="30"/>
  <c r="C87" i="30" s="1"/>
  <c r="G32" i="30"/>
  <c r="I34" i="30"/>
  <c r="E55" i="30"/>
  <c r="M55" i="30"/>
  <c r="I57" i="30"/>
  <c r="C77" i="30"/>
  <c r="K77" i="30"/>
  <c r="G79" i="30"/>
  <c r="F55" i="30"/>
  <c r="J57" i="30"/>
  <c r="L77" i="30"/>
  <c r="G55" i="30"/>
  <c r="C57" i="30"/>
  <c r="B64" i="30" s="1"/>
  <c r="K57" i="30"/>
  <c r="E77" i="30"/>
  <c r="M77" i="30"/>
  <c r="J34" i="30"/>
  <c r="D77" i="30"/>
  <c r="B32" i="30"/>
  <c r="J32" i="30"/>
  <c r="D34" i="30"/>
  <c r="L34" i="30"/>
  <c r="D57" i="30"/>
  <c r="L57" i="30"/>
  <c r="B79" i="30"/>
  <c r="B34" i="30"/>
  <c r="C32" i="30"/>
  <c r="K32" i="30"/>
  <c r="E34" i="30"/>
  <c r="M34" i="30"/>
  <c r="I55" i="30"/>
  <c r="B60" i="30" s="1"/>
  <c r="E57" i="30"/>
  <c r="B65" i="30" s="1"/>
  <c r="M57" i="30"/>
  <c r="F34" i="30"/>
  <c r="G34" i="30"/>
  <c r="M79" i="29"/>
  <c r="L79" i="29"/>
  <c r="I79" i="29"/>
  <c r="H79" i="29"/>
  <c r="E79" i="29"/>
  <c r="D79" i="29"/>
  <c r="M77" i="29"/>
  <c r="L77" i="29"/>
  <c r="I77" i="29"/>
  <c r="H77" i="29"/>
  <c r="E77" i="29"/>
  <c r="D77" i="29"/>
  <c r="B73" i="29"/>
  <c r="B72" i="29"/>
  <c r="B69" i="29"/>
  <c r="B68" i="29"/>
  <c r="H57" i="29"/>
  <c r="G57" i="29"/>
  <c r="F57" i="29"/>
  <c r="B50" i="29"/>
  <c r="B46" i="29"/>
  <c r="B45" i="29"/>
  <c r="O34" i="29"/>
  <c r="N34" i="29"/>
  <c r="H34" i="29"/>
  <c r="G34" i="29"/>
  <c r="F34" i="29"/>
  <c r="M32" i="29"/>
  <c r="L32" i="29"/>
  <c r="I32" i="29"/>
  <c r="H32" i="29"/>
  <c r="E32" i="29"/>
  <c r="D32" i="29"/>
  <c r="O26" i="29"/>
  <c r="N26" i="29"/>
  <c r="M26" i="29"/>
  <c r="M57" i="29" s="1"/>
  <c r="L26" i="29"/>
  <c r="L57" i="29" s="1"/>
  <c r="K26" i="29"/>
  <c r="K79" i="29" s="1"/>
  <c r="J26" i="29"/>
  <c r="J57" i="29" s="1"/>
  <c r="I26" i="29"/>
  <c r="I57" i="29" s="1"/>
  <c r="H26" i="29"/>
  <c r="G26" i="29"/>
  <c r="G79" i="29" s="1"/>
  <c r="F26" i="29"/>
  <c r="F79" i="29" s="1"/>
  <c r="E26" i="29"/>
  <c r="E57" i="29" s="1"/>
  <c r="D26" i="29"/>
  <c r="D57" i="29" s="1"/>
  <c r="C26" i="29"/>
  <c r="C79" i="29" s="1"/>
  <c r="B26" i="29"/>
  <c r="B34" i="29" s="1"/>
  <c r="O25" i="29"/>
  <c r="N25" i="29"/>
  <c r="O24" i="29"/>
  <c r="O32" i="29" s="1"/>
  <c r="N24" i="29"/>
  <c r="N32" i="29" s="1"/>
  <c r="M24" i="29"/>
  <c r="M55" i="29" s="1"/>
  <c r="L24" i="29"/>
  <c r="L55" i="29" s="1"/>
  <c r="K24" i="29"/>
  <c r="K32" i="29" s="1"/>
  <c r="J24" i="29"/>
  <c r="J32" i="29" s="1"/>
  <c r="I24" i="29"/>
  <c r="I55" i="29" s="1"/>
  <c r="H24" i="29"/>
  <c r="H55" i="29" s="1"/>
  <c r="G24" i="29"/>
  <c r="G77" i="29" s="1"/>
  <c r="F24" i="29"/>
  <c r="F55" i="29" s="1"/>
  <c r="E24" i="29"/>
  <c r="E55" i="29" s="1"/>
  <c r="D24" i="29"/>
  <c r="D55" i="29" s="1"/>
  <c r="C24" i="29"/>
  <c r="C32" i="29" s="1"/>
  <c r="B24" i="29"/>
  <c r="B55" i="29" s="1"/>
  <c r="O20" i="29"/>
  <c r="N20" i="29"/>
  <c r="O19" i="29"/>
  <c r="N19" i="29"/>
  <c r="O16" i="29"/>
  <c r="N16" i="29"/>
  <c r="M16" i="29"/>
  <c r="L16" i="29"/>
  <c r="K16" i="29"/>
  <c r="J16" i="29"/>
  <c r="I16" i="29"/>
  <c r="H16" i="29"/>
  <c r="G16" i="29"/>
  <c r="F16" i="29"/>
  <c r="E16" i="29"/>
  <c r="D16" i="29"/>
  <c r="C16" i="29"/>
  <c r="B16" i="29"/>
  <c r="F98" i="3"/>
  <c r="C97" i="3"/>
  <c r="C98" i="3"/>
  <c r="C96" i="3"/>
  <c r="E98" i="3"/>
  <c r="D98" i="13"/>
  <c r="D97" i="13"/>
  <c r="B94" i="31" l="1"/>
  <c r="B90" i="31"/>
  <c r="C69" i="31"/>
  <c r="C73" i="31"/>
  <c r="C50" i="31"/>
  <c r="D50" i="31" s="1"/>
  <c r="C38" i="31"/>
  <c r="C46" i="31"/>
  <c r="D46" i="31" s="1"/>
  <c r="C94" i="31"/>
  <c r="C90" i="31"/>
  <c r="B91" i="31"/>
  <c r="B95" i="31"/>
  <c r="C91" i="31"/>
  <c r="C95" i="31"/>
  <c r="B61" i="30"/>
  <c r="B83" i="30"/>
  <c r="B82" i="30"/>
  <c r="C86" i="30"/>
  <c r="B42" i="30"/>
  <c r="C42" i="30" s="1"/>
  <c r="B41" i="30"/>
  <c r="C83" i="30"/>
  <c r="C82" i="30"/>
  <c r="B38" i="30"/>
  <c r="B37" i="30"/>
  <c r="C45" i="30" s="1"/>
  <c r="B87" i="30"/>
  <c r="B86" i="30"/>
  <c r="C86" i="29"/>
  <c r="C87" i="29"/>
  <c r="J55" i="29"/>
  <c r="K55" i="29"/>
  <c r="F32" i="29"/>
  <c r="B77" i="29"/>
  <c r="J77" i="29"/>
  <c r="G32" i="29"/>
  <c r="I34" i="29"/>
  <c r="C77" i="29"/>
  <c r="K77" i="29"/>
  <c r="J34" i="29"/>
  <c r="B57" i="29"/>
  <c r="C34" i="29"/>
  <c r="G55" i="29"/>
  <c r="B32" i="29"/>
  <c r="D34" i="29"/>
  <c r="B42" i="29" s="1"/>
  <c r="C42" i="29" s="1"/>
  <c r="L34" i="29"/>
  <c r="F77" i="29"/>
  <c r="B79" i="29"/>
  <c r="J79" i="29"/>
  <c r="C55" i="29"/>
  <c r="B60" i="29" s="1"/>
  <c r="K34" i="29"/>
  <c r="C57" i="29"/>
  <c r="K57" i="29"/>
  <c r="E34" i="29"/>
  <c r="M34" i="29"/>
  <c r="F96" i="7"/>
  <c r="F97" i="7"/>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C94" i="30" l="1"/>
  <c r="C90" i="30"/>
  <c r="C95" i="30"/>
  <c r="C91" i="30"/>
  <c r="B94" i="30"/>
  <c r="B90" i="30"/>
  <c r="B95" i="30"/>
  <c r="B91" i="30"/>
  <c r="C50" i="30"/>
  <c r="D50" i="30" s="1"/>
  <c r="C38" i="30"/>
  <c r="C46" i="30"/>
  <c r="D46" i="30" s="1"/>
  <c r="C73" i="30"/>
  <c r="C69" i="30"/>
  <c r="C83" i="29"/>
  <c r="C82" i="29"/>
  <c r="B41" i="29"/>
  <c r="B86" i="29"/>
  <c r="B87" i="29"/>
  <c r="B38" i="29"/>
  <c r="B37" i="29"/>
  <c r="C45" i="29" s="1"/>
  <c r="B83" i="29"/>
  <c r="B82" i="29"/>
  <c r="B61" i="29"/>
  <c r="B65" i="29"/>
  <c r="B64" i="29"/>
  <c r="M79" i="28"/>
  <c r="L79" i="28"/>
  <c r="I79" i="28"/>
  <c r="H79" i="28"/>
  <c r="E79" i="28"/>
  <c r="D79" i="28"/>
  <c r="M77" i="28"/>
  <c r="L77" i="28"/>
  <c r="I77" i="28"/>
  <c r="H77" i="28"/>
  <c r="E77" i="28"/>
  <c r="D77" i="28"/>
  <c r="B73" i="28"/>
  <c r="B72" i="28"/>
  <c r="B69" i="28"/>
  <c r="B68" i="28"/>
  <c r="H57" i="28"/>
  <c r="G57" i="28"/>
  <c r="F57" i="28"/>
  <c r="B50" i="28"/>
  <c r="B46" i="28"/>
  <c r="B45" i="28"/>
  <c r="O34" i="28"/>
  <c r="N34" i="28"/>
  <c r="H34" i="28"/>
  <c r="G34" i="28"/>
  <c r="F34" i="28"/>
  <c r="M32" i="28"/>
  <c r="L32" i="28"/>
  <c r="I32" i="28"/>
  <c r="H32" i="28"/>
  <c r="E32" i="28"/>
  <c r="D32" i="28"/>
  <c r="O26" i="28"/>
  <c r="N26" i="28"/>
  <c r="M26" i="28"/>
  <c r="M57" i="28" s="1"/>
  <c r="L26" i="28"/>
  <c r="L57" i="28" s="1"/>
  <c r="K26" i="28"/>
  <c r="K79" i="28" s="1"/>
  <c r="J26" i="28"/>
  <c r="J79" i="28" s="1"/>
  <c r="I26" i="28"/>
  <c r="I57" i="28" s="1"/>
  <c r="H26" i="28"/>
  <c r="G26" i="28"/>
  <c r="G79" i="28" s="1"/>
  <c r="F26" i="28"/>
  <c r="F79" i="28" s="1"/>
  <c r="E26" i="28"/>
  <c r="E57" i="28" s="1"/>
  <c r="D26" i="28"/>
  <c r="D57" i="28" s="1"/>
  <c r="C26" i="28"/>
  <c r="C79" i="28" s="1"/>
  <c r="B26" i="28"/>
  <c r="B79" i="28" s="1"/>
  <c r="O25" i="28"/>
  <c r="N25" i="28"/>
  <c r="O24" i="28"/>
  <c r="O32" i="28" s="1"/>
  <c r="N24" i="28"/>
  <c r="N32" i="28" s="1"/>
  <c r="M24" i="28"/>
  <c r="M55" i="28" s="1"/>
  <c r="L24" i="28"/>
  <c r="L55" i="28" s="1"/>
  <c r="K24" i="28"/>
  <c r="K32" i="28" s="1"/>
  <c r="J24" i="28"/>
  <c r="J32" i="28" s="1"/>
  <c r="I24" i="28"/>
  <c r="I55" i="28" s="1"/>
  <c r="H24" i="28"/>
  <c r="H55" i="28" s="1"/>
  <c r="G24" i="28"/>
  <c r="G77" i="28" s="1"/>
  <c r="F24" i="28"/>
  <c r="F55" i="28" s="1"/>
  <c r="E24" i="28"/>
  <c r="E55" i="28" s="1"/>
  <c r="D24" i="28"/>
  <c r="D55" i="28" s="1"/>
  <c r="C24" i="28"/>
  <c r="C55" i="28" s="1"/>
  <c r="B24" i="28"/>
  <c r="B32" i="28" s="1"/>
  <c r="O20" i="28"/>
  <c r="N20" i="28"/>
  <c r="O19" i="28"/>
  <c r="N19" i="28"/>
  <c r="O16" i="28"/>
  <c r="N16" i="28"/>
  <c r="M16" i="28"/>
  <c r="L16" i="28"/>
  <c r="K16" i="28"/>
  <c r="J16" i="28"/>
  <c r="I16" i="28"/>
  <c r="H16" i="28"/>
  <c r="G16" i="28"/>
  <c r="F16" i="28"/>
  <c r="E16" i="28"/>
  <c r="D16" i="28"/>
  <c r="C16" i="28"/>
  <c r="B16" i="28"/>
  <c r="E97" i="7"/>
  <c r="E96" i="7"/>
  <c r="C97" i="7"/>
  <c r="C96" i="7"/>
  <c r="F97" i="3"/>
  <c r="E97" i="3"/>
  <c r="C38" i="29" l="1"/>
  <c r="C50" i="29"/>
  <c r="D50" i="29" s="1"/>
  <c r="C46" i="29"/>
  <c r="D46" i="29" s="1"/>
  <c r="C69" i="29"/>
  <c r="C73" i="29"/>
  <c r="C94" i="29"/>
  <c r="C90" i="29"/>
  <c r="B95" i="29"/>
  <c r="B91" i="29"/>
  <c r="B94" i="29"/>
  <c r="B90" i="29"/>
  <c r="C91" i="29"/>
  <c r="C95" i="29"/>
  <c r="B86" i="28"/>
  <c r="B87" i="28"/>
  <c r="C87" i="28"/>
  <c r="C86" i="28"/>
  <c r="K55" i="28"/>
  <c r="F32" i="28"/>
  <c r="B77" i="28"/>
  <c r="J77" i="28"/>
  <c r="G32" i="28"/>
  <c r="I34" i="28"/>
  <c r="C77" i="28"/>
  <c r="K77" i="28"/>
  <c r="J55" i="28"/>
  <c r="B34" i="28"/>
  <c r="J57" i="28"/>
  <c r="B55" i="28"/>
  <c r="J34" i="28"/>
  <c r="B57" i="28"/>
  <c r="K34" i="28"/>
  <c r="C57" i="28"/>
  <c r="K57" i="28"/>
  <c r="D34" i="28"/>
  <c r="L34" i="28"/>
  <c r="F77" i="28"/>
  <c r="C34" i="28"/>
  <c r="G55" i="28"/>
  <c r="C32" i="28"/>
  <c r="B38" i="28" s="1"/>
  <c r="E34" i="28"/>
  <c r="M34" i="28"/>
  <c r="B95" i="3"/>
  <c r="E96" i="3" s="1"/>
  <c r="D96" i="13"/>
  <c r="E96" i="13"/>
  <c r="C96" i="13"/>
  <c r="C38" i="28" l="1"/>
  <c r="C50" i="28"/>
  <c r="D50" i="28" s="1"/>
  <c r="C46" i="28"/>
  <c r="D46" i="28" s="1"/>
  <c r="B60" i="28"/>
  <c r="B61" i="28"/>
  <c r="B41" i="28"/>
  <c r="B42" i="28"/>
  <c r="C42" i="28" s="1"/>
  <c r="B83" i="28"/>
  <c r="B82" i="28"/>
  <c r="B65" i="28"/>
  <c r="B64" i="28"/>
  <c r="B37" i="28"/>
  <c r="C45" i="28" s="1"/>
  <c r="C83" i="28"/>
  <c r="C82" i="28"/>
  <c r="O20" i="20"/>
  <c r="A95" i="7"/>
  <c r="C95" i="7"/>
  <c r="E95" i="7"/>
  <c r="F95" i="7"/>
  <c r="M79" i="27"/>
  <c r="L79" i="27"/>
  <c r="G79" i="27"/>
  <c r="F79" i="27"/>
  <c r="E79" i="27"/>
  <c r="D79" i="27"/>
  <c r="I77" i="27"/>
  <c r="H77" i="27"/>
  <c r="B73" i="27"/>
  <c r="B72" i="27"/>
  <c r="B69" i="27"/>
  <c r="B68" i="27"/>
  <c r="I57" i="27"/>
  <c r="H57" i="27"/>
  <c r="G57" i="27"/>
  <c r="F57" i="27"/>
  <c r="B50" i="27"/>
  <c r="B46" i="27"/>
  <c r="B45" i="27"/>
  <c r="O34" i="27"/>
  <c r="N34" i="27"/>
  <c r="I34" i="27"/>
  <c r="H34" i="27"/>
  <c r="G34" i="27"/>
  <c r="F34" i="27"/>
  <c r="O32" i="27"/>
  <c r="N32" i="27"/>
  <c r="M32" i="27"/>
  <c r="L32" i="27"/>
  <c r="G32" i="27"/>
  <c r="F32" i="27"/>
  <c r="E32" i="27"/>
  <c r="D32" i="27"/>
  <c r="O26" i="27"/>
  <c r="N26" i="27"/>
  <c r="M26" i="27"/>
  <c r="M57" i="27" s="1"/>
  <c r="L26" i="27"/>
  <c r="L57" i="27" s="1"/>
  <c r="K26" i="27"/>
  <c r="K79" i="27" s="1"/>
  <c r="J26" i="27"/>
  <c r="J79" i="27" s="1"/>
  <c r="I26" i="27"/>
  <c r="I79" i="27" s="1"/>
  <c r="H26" i="27"/>
  <c r="H79" i="27" s="1"/>
  <c r="G26" i="27"/>
  <c r="F26" i="27"/>
  <c r="E26" i="27"/>
  <c r="E57" i="27" s="1"/>
  <c r="D26" i="27"/>
  <c r="D57" i="27" s="1"/>
  <c r="C26" i="27"/>
  <c r="C79" i="27" s="1"/>
  <c r="B26" i="27"/>
  <c r="B79" i="27" s="1"/>
  <c r="O25" i="27"/>
  <c r="N25" i="27"/>
  <c r="O24" i="27"/>
  <c r="N24" i="27"/>
  <c r="M24" i="27"/>
  <c r="M77" i="27" s="1"/>
  <c r="L24" i="27"/>
  <c r="L55" i="27" s="1"/>
  <c r="K24" i="27"/>
  <c r="K32" i="27" s="1"/>
  <c r="J24" i="27"/>
  <c r="J32" i="27" s="1"/>
  <c r="I24" i="27"/>
  <c r="I55" i="27" s="1"/>
  <c r="H24" i="27"/>
  <c r="H55" i="27" s="1"/>
  <c r="G24" i="27"/>
  <c r="G77" i="27" s="1"/>
  <c r="F24" i="27"/>
  <c r="F77" i="27" s="1"/>
  <c r="E24" i="27"/>
  <c r="E55" i="27" s="1"/>
  <c r="D24" i="27"/>
  <c r="D55" i="27" s="1"/>
  <c r="C24" i="27"/>
  <c r="C32" i="27" s="1"/>
  <c r="B24" i="27"/>
  <c r="B55" i="27" s="1"/>
  <c r="N20" i="27"/>
  <c r="O19" i="27"/>
  <c r="N19" i="27"/>
  <c r="O16" i="27"/>
  <c r="N16" i="27"/>
  <c r="M16" i="27"/>
  <c r="L16" i="27"/>
  <c r="K16" i="27"/>
  <c r="J16" i="27"/>
  <c r="I16" i="27"/>
  <c r="H16" i="27"/>
  <c r="G16" i="27"/>
  <c r="F16" i="27"/>
  <c r="E16" i="27"/>
  <c r="D16" i="27"/>
  <c r="C16" i="27"/>
  <c r="B16" i="27"/>
  <c r="F85" i="3"/>
  <c r="F86" i="3"/>
  <c r="F87" i="3"/>
  <c r="F88" i="3"/>
  <c r="F89" i="3"/>
  <c r="F90" i="3"/>
  <c r="F91" i="3"/>
  <c r="F92" i="3"/>
  <c r="F93" i="3"/>
  <c r="F94" i="3"/>
  <c r="F95" i="3"/>
  <c r="A95" i="3"/>
  <c r="E95" i="3"/>
  <c r="F96" i="3" s="1"/>
  <c r="E95" i="13"/>
  <c r="D95" i="13"/>
  <c r="B95" i="28" l="1"/>
  <c r="B91" i="28"/>
  <c r="B94" i="28"/>
  <c r="B90" i="28"/>
  <c r="C94" i="28"/>
  <c r="C90" i="28"/>
  <c r="C95" i="28"/>
  <c r="C91" i="28"/>
  <c r="C69" i="28"/>
  <c r="C73" i="28"/>
  <c r="B87" i="27"/>
  <c r="B86" i="27"/>
  <c r="C86" i="27"/>
  <c r="C87" i="27"/>
  <c r="J55" i="27"/>
  <c r="C55" i="27"/>
  <c r="B61" i="27" s="1"/>
  <c r="C77" i="27"/>
  <c r="H32" i="27"/>
  <c r="B34" i="27"/>
  <c r="J34" i="27"/>
  <c r="F55" i="27"/>
  <c r="B57" i="27"/>
  <c r="J57" i="27"/>
  <c r="D77" i="27"/>
  <c r="L77" i="27"/>
  <c r="K55" i="27"/>
  <c r="B77" i="27"/>
  <c r="J77" i="27"/>
  <c r="M55" i="27"/>
  <c r="K77" i="27"/>
  <c r="I32" i="27"/>
  <c r="C34" i="27"/>
  <c r="K34" i="27"/>
  <c r="G55" i="27"/>
  <c r="C57" i="27"/>
  <c r="K57" i="27"/>
  <c r="E77" i="27"/>
  <c r="B32" i="27"/>
  <c r="D34" i="27"/>
  <c r="L34" i="27"/>
  <c r="E34" i="27"/>
  <c r="M34" i="27"/>
  <c r="E94" i="3"/>
  <c r="C94" i="3"/>
  <c r="C73" i="27" l="1"/>
  <c r="C69" i="27"/>
  <c r="B38" i="27"/>
  <c r="B37" i="27"/>
  <c r="C45" i="27" s="1"/>
  <c r="B82" i="27"/>
  <c r="B83" i="27"/>
  <c r="B42" i="27"/>
  <c r="C42" i="27" s="1"/>
  <c r="B41" i="27"/>
  <c r="B60" i="27"/>
  <c r="B65" i="27"/>
  <c r="B64" i="27"/>
  <c r="C82" i="27"/>
  <c r="C83" i="27"/>
  <c r="H79" i="26"/>
  <c r="H77" i="26"/>
  <c r="B73" i="26"/>
  <c r="B72" i="26"/>
  <c r="B69" i="26"/>
  <c r="B68" i="26"/>
  <c r="H57" i="26"/>
  <c r="B50" i="26"/>
  <c r="B46" i="26"/>
  <c r="B45" i="26"/>
  <c r="N34" i="26"/>
  <c r="H34" i="26"/>
  <c r="F34" i="26"/>
  <c r="O32" i="26"/>
  <c r="N32" i="26"/>
  <c r="K32" i="26"/>
  <c r="H32" i="26"/>
  <c r="G32" i="26"/>
  <c r="F32" i="26"/>
  <c r="C32" i="26"/>
  <c r="O26" i="26"/>
  <c r="O34" i="26" s="1"/>
  <c r="N26" i="26"/>
  <c r="M26" i="26"/>
  <c r="M79" i="26" s="1"/>
  <c r="L26" i="26"/>
  <c r="L79" i="26" s="1"/>
  <c r="K26" i="26"/>
  <c r="K79" i="26" s="1"/>
  <c r="J26" i="26"/>
  <c r="J79" i="26" s="1"/>
  <c r="I26" i="26"/>
  <c r="I79" i="26" s="1"/>
  <c r="H26" i="26"/>
  <c r="G26" i="26"/>
  <c r="G57" i="26" s="1"/>
  <c r="F26" i="26"/>
  <c r="F57" i="26" s="1"/>
  <c r="E26" i="26"/>
  <c r="E79" i="26" s="1"/>
  <c r="D26" i="26"/>
  <c r="D79" i="26" s="1"/>
  <c r="C26" i="26"/>
  <c r="C79" i="26" s="1"/>
  <c r="B26" i="26"/>
  <c r="B79" i="26" s="1"/>
  <c r="O25" i="26"/>
  <c r="N25" i="26"/>
  <c r="O24" i="26"/>
  <c r="N24" i="26"/>
  <c r="M24" i="26"/>
  <c r="M32" i="26" s="1"/>
  <c r="L24" i="26"/>
  <c r="L32" i="26" s="1"/>
  <c r="K24" i="26"/>
  <c r="K55" i="26" s="1"/>
  <c r="J24" i="26"/>
  <c r="J55" i="26" s="1"/>
  <c r="I24" i="26"/>
  <c r="I77" i="26" s="1"/>
  <c r="H24" i="26"/>
  <c r="H55" i="26" s="1"/>
  <c r="G24" i="26"/>
  <c r="G77" i="26" s="1"/>
  <c r="F24" i="26"/>
  <c r="F77" i="26" s="1"/>
  <c r="E24" i="26"/>
  <c r="E32" i="26" s="1"/>
  <c r="D24" i="26"/>
  <c r="D32" i="26" s="1"/>
  <c r="C24" i="26"/>
  <c r="C55" i="26" s="1"/>
  <c r="B24" i="26"/>
  <c r="B55" i="26" s="1"/>
  <c r="N20" i="26"/>
  <c r="O19" i="26"/>
  <c r="N19" i="26"/>
  <c r="O16" i="26"/>
  <c r="N16" i="26"/>
  <c r="M16" i="26"/>
  <c r="L16" i="26"/>
  <c r="K16" i="26"/>
  <c r="J16" i="26"/>
  <c r="I16" i="26"/>
  <c r="H16" i="26"/>
  <c r="G16" i="26"/>
  <c r="F16" i="26"/>
  <c r="E16" i="26"/>
  <c r="D16" i="26"/>
  <c r="C16" i="26"/>
  <c r="B16" i="26"/>
  <c r="E94" i="13"/>
  <c r="A94" i="13"/>
  <c r="C94" i="13"/>
  <c r="D94" i="13"/>
  <c r="B91" i="27" l="1"/>
  <c r="B95" i="27"/>
  <c r="C91" i="27"/>
  <c r="C95" i="27"/>
  <c r="B94" i="27"/>
  <c r="B90" i="27"/>
  <c r="C50" i="27"/>
  <c r="D50" i="27" s="1"/>
  <c r="C46" i="27"/>
  <c r="D46" i="27" s="1"/>
  <c r="C38" i="27"/>
  <c r="C94" i="27"/>
  <c r="C90" i="27"/>
  <c r="C86" i="26"/>
  <c r="D55" i="26"/>
  <c r="B61" i="26" s="1"/>
  <c r="B77" i="26"/>
  <c r="J77" i="26"/>
  <c r="F79" i="26"/>
  <c r="B87" i="26" s="1"/>
  <c r="I34" i="26"/>
  <c r="E55" i="26"/>
  <c r="M55" i="26"/>
  <c r="I57" i="26"/>
  <c r="C77" i="26"/>
  <c r="K77" i="26"/>
  <c r="G79" i="26"/>
  <c r="L55" i="26"/>
  <c r="B34" i="26"/>
  <c r="B57" i="26"/>
  <c r="J57" i="26"/>
  <c r="D77" i="26"/>
  <c r="L77" i="26"/>
  <c r="I32" i="26"/>
  <c r="C34" i="26"/>
  <c r="K34" i="26"/>
  <c r="G55" i="26"/>
  <c r="C57" i="26"/>
  <c r="K57" i="26"/>
  <c r="E77" i="26"/>
  <c r="M77" i="26"/>
  <c r="J34" i="26"/>
  <c r="F55" i="26"/>
  <c r="B32" i="26"/>
  <c r="J32" i="26"/>
  <c r="D34" i="26"/>
  <c r="L34" i="26"/>
  <c r="D57" i="26"/>
  <c r="L57" i="26"/>
  <c r="E34" i="26"/>
  <c r="M34" i="26"/>
  <c r="I55" i="26"/>
  <c r="E57" i="26"/>
  <c r="M57" i="26"/>
  <c r="G34" i="26"/>
  <c r="F93" i="7"/>
  <c r="F94" i="7"/>
  <c r="E94" i="7"/>
  <c r="E93" i="7"/>
  <c r="C94" i="7"/>
  <c r="C93" i="7"/>
  <c r="E93" i="3"/>
  <c r="N20" i="20"/>
  <c r="M78" i="25"/>
  <c r="L78" i="25"/>
  <c r="K78" i="25"/>
  <c r="H78" i="25"/>
  <c r="E78" i="25"/>
  <c r="D78" i="25"/>
  <c r="C78" i="25"/>
  <c r="H76" i="25"/>
  <c r="G76" i="25"/>
  <c r="B72" i="25"/>
  <c r="B71" i="25"/>
  <c r="B68" i="25"/>
  <c r="B67" i="25"/>
  <c r="M56" i="25"/>
  <c r="H56" i="25"/>
  <c r="G56" i="25"/>
  <c r="F56" i="25"/>
  <c r="E56" i="25"/>
  <c r="B49" i="25"/>
  <c r="B45" i="25"/>
  <c r="B44" i="25"/>
  <c r="O33" i="25"/>
  <c r="N33" i="25"/>
  <c r="M33" i="25"/>
  <c r="H33" i="25"/>
  <c r="G33" i="25"/>
  <c r="F33" i="25"/>
  <c r="E33" i="25"/>
  <c r="N31" i="25"/>
  <c r="M31" i="25"/>
  <c r="L31" i="25"/>
  <c r="K31" i="25"/>
  <c r="H31" i="25"/>
  <c r="F31" i="25"/>
  <c r="E31" i="25"/>
  <c r="D31" i="25"/>
  <c r="C31" i="25"/>
  <c r="O25" i="25"/>
  <c r="N25" i="25"/>
  <c r="M25" i="25"/>
  <c r="L25" i="25"/>
  <c r="L56" i="25" s="1"/>
  <c r="K25" i="25"/>
  <c r="K56" i="25" s="1"/>
  <c r="J25" i="25"/>
  <c r="J78" i="25" s="1"/>
  <c r="I25" i="25"/>
  <c r="I78" i="25" s="1"/>
  <c r="H25" i="25"/>
  <c r="G25" i="25"/>
  <c r="G78" i="25" s="1"/>
  <c r="F25" i="25"/>
  <c r="F78" i="25" s="1"/>
  <c r="E25" i="25"/>
  <c r="D25" i="25"/>
  <c r="D56" i="25" s="1"/>
  <c r="C25" i="25"/>
  <c r="C56" i="25" s="1"/>
  <c r="B25" i="25"/>
  <c r="B78" i="25" s="1"/>
  <c r="O24" i="25"/>
  <c r="N24" i="25"/>
  <c r="O23" i="25"/>
  <c r="O31" i="25" s="1"/>
  <c r="N23" i="25"/>
  <c r="M23" i="25"/>
  <c r="M76" i="25" s="1"/>
  <c r="L23" i="25"/>
  <c r="L76" i="25" s="1"/>
  <c r="K23" i="25"/>
  <c r="K54" i="25" s="1"/>
  <c r="J23" i="25"/>
  <c r="J31" i="25" s="1"/>
  <c r="I23" i="25"/>
  <c r="I76" i="25" s="1"/>
  <c r="H23" i="25"/>
  <c r="H54" i="25" s="1"/>
  <c r="G23" i="25"/>
  <c r="G54" i="25" s="1"/>
  <c r="F23" i="25"/>
  <c r="F76" i="25" s="1"/>
  <c r="E23" i="25"/>
  <c r="E76" i="25" s="1"/>
  <c r="D23" i="25"/>
  <c r="D76" i="25" s="1"/>
  <c r="C23" i="25"/>
  <c r="C54" i="25" s="1"/>
  <c r="B23" i="25"/>
  <c r="B31" i="25" s="1"/>
  <c r="O18" i="25"/>
  <c r="N18" i="25"/>
  <c r="O15" i="25"/>
  <c r="N15" i="25"/>
  <c r="M15" i="25"/>
  <c r="L15" i="25"/>
  <c r="K15" i="25"/>
  <c r="J15" i="25"/>
  <c r="I15" i="25"/>
  <c r="H15" i="25"/>
  <c r="G15" i="25"/>
  <c r="F15" i="25"/>
  <c r="E15" i="25"/>
  <c r="D15" i="25"/>
  <c r="C15" i="25"/>
  <c r="B15" i="25"/>
  <c r="E93" i="13"/>
  <c r="D93" i="13"/>
  <c r="C93" i="13"/>
  <c r="C73" i="26" l="1"/>
  <c r="C69" i="26"/>
  <c r="B83" i="26"/>
  <c r="B82" i="26"/>
  <c r="C83" i="26"/>
  <c r="C82" i="26"/>
  <c r="C87" i="26"/>
  <c r="B65" i="26"/>
  <c r="B64" i="26"/>
  <c r="B86" i="26"/>
  <c r="B42" i="26"/>
  <c r="C42" i="26" s="1"/>
  <c r="B41" i="26"/>
  <c r="B37" i="26"/>
  <c r="C45" i="26" s="1"/>
  <c r="B38" i="26"/>
  <c r="B60" i="26"/>
  <c r="C86" i="25"/>
  <c r="B85" i="25"/>
  <c r="B86" i="25"/>
  <c r="C85" i="25"/>
  <c r="D54" i="25"/>
  <c r="L54" i="25"/>
  <c r="B76" i="25"/>
  <c r="J76" i="25"/>
  <c r="G31" i="25"/>
  <c r="B37" i="25" s="1"/>
  <c r="I33" i="25"/>
  <c r="E54" i="25"/>
  <c r="M54" i="25"/>
  <c r="I56" i="25"/>
  <c r="C76" i="25"/>
  <c r="K76" i="25"/>
  <c r="I54" i="25"/>
  <c r="J54" i="25"/>
  <c r="J33" i="25"/>
  <c r="B56" i="25"/>
  <c r="I31" i="25"/>
  <c r="C33" i="25"/>
  <c r="K33" i="25"/>
  <c r="B54" i="25"/>
  <c r="B33" i="25"/>
  <c r="F54" i="25"/>
  <c r="J56" i="25"/>
  <c r="D33" i="25"/>
  <c r="L33" i="25"/>
  <c r="F92" i="7"/>
  <c r="F91" i="7"/>
  <c r="E92" i="7"/>
  <c r="C92" i="7"/>
  <c r="E92" i="3"/>
  <c r="C92" i="3"/>
  <c r="M78" i="24"/>
  <c r="L78" i="24"/>
  <c r="I78" i="24"/>
  <c r="H78" i="24"/>
  <c r="E78" i="24"/>
  <c r="D78" i="24"/>
  <c r="M76" i="24"/>
  <c r="L76" i="24"/>
  <c r="I76" i="24"/>
  <c r="H76" i="24"/>
  <c r="E76" i="24"/>
  <c r="D76" i="24"/>
  <c r="B72" i="24"/>
  <c r="B71" i="24"/>
  <c r="B68" i="24"/>
  <c r="B67" i="24"/>
  <c r="H56" i="24"/>
  <c r="G56" i="24"/>
  <c r="F56" i="24"/>
  <c r="B49" i="24"/>
  <c r="B45" i="24"/>
  <c r="B44" i="24"/>
  <c r="O33" i="24"/>
  <c r="N33" i="24"/>
  <c r="H33" i="24"/>
  <c r="G33" i="24"/>
  <c r="F33" i="24"/>
  <c r="M31" i="24"/>
  <c r="L31" i="24"/>
  <c r="I31" i="24"/>
  <c r="H31" i="24"/>
  <c r="E31" i="24"/>
  <c r="D31" i="24"/>
  <c r="O25" i="24"/>
  <c r="N25" i="24"/>
  <c r="M25" i="24"/>
  <c r="M56" i="24" s="1"/>
  <c r="L25" i="24"/>
  <c r="L56" i="24" s="1"/>
  <c r="K25" i="24"/>
  <c r="K78" i="24" s="1"/>
  <c r="J25" i="24"/>
  <c r="J56" i="24" s="1"/>
  <c r="I25" i="24"/>
  <c r="I56" i="24" s="1"/>
  <c r="H25" i="24"/>
  <c r="G25" i="24"/>
  <c r="G78" i="24" s="1"/>
  <c r="F25" i="24"/>
  <c r="F78" i="24" s="1"/>
  <c r="E25" i="24"/>
  <c r="E56" i="24" s="1"/>
  <c r="D25" i="24"/>
  <c r="D56" i="24" s="1"/>
  <c r="C25" i="24"/>
  <c r="C78" i="24" s="1"/>
  <c r="B25" i="24"/>
  <c r="B56" i="24" s="1"/>
  <c r="O24" i="24"/>
  <c r="N24" i="24"/>
  <c r="O23" i="24"/>
  <c r="O31" i="24" s="1"/>
  <c r="N23" i="24"/>
  <c r="N31" i="24" s="1"/>
  <c r="M23" i="24"/>
  <c r="M54" i="24" s="1"/>
  <c r="L23" i="24"/>
  <c r="L54" i="24" s="1"/>
  <c r="K23" i="24"/>
  <c r="K31" i="24" s="1"/>
  <c r="J23" i="24"/>
  <c r="J31" i="24" s="1"/>
  <c r="I23" i="24"/>
  <c r="I54" i="24" s="1"/>
  <c r="H23" i="24"/>
  <c r="H54" i="24" s="1"/>
  <c r="G23" i="24"/>
  <c r="G76" i="24" s="1"/>
  <c r="F23" i="24"/>
  <c r="F76" i="24" s="1"/>
  <c r="E23" i="24"/>
  <c r="E54" i="24" s="1"/>
  <c r="D23" i="24"/>
  <c r="D54" i="24" s="1"/>
  <c r="C23" i="24"/>
  <c r="C31" i="24" s="1"/>
  <c r="B23" i="24"/>
  <c r="B54" i="24" s="1"/>
  <c r="O18" i="24"/>
  <c r="N18" i="24"/>
  <c r="O15" i="24"/>
  <c r="N15" i="24"/>
  <c r="M15" i="24"/>
  <c r="L15" i="24"/>
  <c r="K15" i="24"/>
  <c r="J15" i="24"/>
  <c r="I15" i="24"/>
  <c r="H15" i="24"/>
  <c r="G15" i="24"/>
  <c r="F15" i="24"/>
  <c r="E15" i="24"/>
  <c r="D15" i="24"/>
  <c r="C15" i="24"/>
  <c r="B15" i="24"/>
  <c r="E92" i="13"/>
  <c r="D92" i="13"/>
  <c r="C92" i="13"/>
  <c r="C50" i="26" l="1"/>
  <c r="D50" i="26" s="1"/>
  <c r="C38" i="26"/>
  <c r="C46" i="26"/>
  <c r="D46" i="26" s="1"/>
  <c r="C94" i="26"/>
  <c r="C90" i="26"/>
  <c r="C95" i="26"/>
  <c r="C91" i="26"/>
  <c r="B94" i="26"/>
  <c r="B90" i="26"/>
  <c r="B95" i="26"/>
  <c r="B91" i="26"/>
  <c r="C49" i="25"/>
  <c r="D49" i="25" s="1"/>
  <c r="C37" i="25"/>
  <c r="C45" i="25"/>
  <c r="D45" i="25" s="1"/>
  <c r="B41" i="25"/>
  <c r="C41" i="25" s="1"/>
  <c r="B40" i="25"/>
  <c r="B59" i="25"/>
  <c r="B60" i="25"/>
  <c r="B82" i="25"/>
  <c r="B81" i="25"/>
  <c r="C82" i="25"/>
  <c r="C81" i="25"/>
  <c r="B36" i="25"/>
  <c r="C44" i="25" s="1"/>
  <c r="B64" i="25"/>
  <c r="B63" i="25"/>
  <c r="J54" i="24"/>
  <c r="C54" i="24"/>
  <c r="F31" i="24"/>
  <c r="B76" i="24"/>
  <c r="J76" i="24"/>
  <c r="G31" i="24"/>
  <c r="I33" i="24"/>
  <c r="C76" i="24"/>
  <c r="K76" i="24"/>
  <c r="K54" i="24"/>
  <c r="J33" i="24"/>
  <c r="F54" i="24"/>
  <c r="B59" i="24" s="1"/>
  <c r="K33" i="24"/>
  <c r="C56" i="24"/>
  <c r="B64" i="24" s="1"/>
  <c r="K56" i="24"/>
  <c r="B31" i="24"/>
  <c r="D33" i="24"/>
  <c r="L33" i="24"/>
  <c r="B78" i="24"/>
  <c r="J78" i="24"/>
  <c r="C85" i="24" s="1"/>
  <c r="B33" i="24"/>
  <c r="C33" i="24"/>
  <c r="G54" i="24"/>
  <c r="E33" i="24"/>
  <c r="M33" i="24"/>
  <c r="M78" i="23"/>
  <c r="L78" i="23"/>
  <c r="K78" i="23"/>
  <c r="J78" i="23"/>
  <c r="F78" i="23"/>
  <c r="E78" i="23"/>
  <c r="D78" i="23"/>
  <c r="C78" i="23"/>
  <c r="B78" i="23"/>
  <c r="M76" i="23"/>
  <c r="F76" i="23"/>
  <c r="E76" i="23"/>
  <c r="B72" i="23"/>
  <c r="B71" i="23"/>
  <c r="B68" i="23"/>
  <c r="B67" i="23"/>
  <c r="M56" i="23"/>
  <c r="L56" i="23"/>
  <c r="K56" i="23"/>
  <c r="F56" i="23"/>
  <c r="E56" i="23"/>
  <c r="D56" i="23"/>
  <c r="C56" i="23"/>
  <c r="B49" i="23"/>
  <c r="B45" i="23"/>
  <c r="B44" i="23"/>
  <c r="N33" i="23"/>
  <c r="M33" i="23"/>
  <c r="L33" i="23"/>
  <c r="K33" i="23"/>
  <c r="F33" i="23"/>
  <c r="E33" i="23"/>
  <c r="D33" i="23"/>
  <c r="C33" i="23"/>
  <c r="N31" i="23"/>
  <c r="M31" i="23"/>
  <c r="L31" i="23"/>
  <c r="K31" i="23"/>
  <c r="J31" i="23"/>
  <c r="I31" i="23"/>
  <c r="F31" i="23"/>
  <c r="E31" i="23"/>
  <c r="D31" i="23"/>
  <c r="C31" i="23"/>
  <c r="B31" i="23"/>
  <c r="O25" i="23"/>
  <c r="O33" i="23" s="1"/>
  <c r="N25" i="23"/>
  <c r="M25" i="23"/>
  <c r="L25" i="23"/>
  <c r="K25" i="23"/>
  <c r="J25" i="23"/>
  <c r="J56" i="23" s="1"/>
  <c r="I25" i="23"/>
  <c r="I78" i="23" s="1"/>
  <c r="H25" i="23"/>
  <c r="H78" i="23" s="1"/>
  <c r="G25" i="23"/>
  <c r="G78" i="23" s="1"/>
  <c r="F25" i="23"/>
  <c r="E25" i="23"/>
  <c r="D25" i="23"/>
  <c r="C25" i="23"/>
  <c r="B25" i="23"/>
  <c r="B56" i="23" s="1"/>
  <c r="O24" i="23"/>
  <c r="N24" i="23"/>
  <c r="O23" i="23"/>
  <c r="O31" i="23" s="1"/>
  <c r="N23" i="23"/>
  <c r="M23" i="23"/>
  <c r="M54" i="23" s="1"/>
  <c r="L23" i="23"/>
  <c r="L76" i="23" s="1"/>
  <c r="K23" i="23"/>
  <c r="K54" i="23" s="1"/>
  <c r="J23" i="23"/>
  <c r="J76" i="23" s="1"/>
  <c r="I23" i="23"/>
  <c r="I54" i="23" s="1"/>
  <c r="H23" i="23"/>
  <c r="H54" i="23" s="1"/>
  <c r="G23" i="23"/>
  <c r="G76" i="23" s="1"/>
  <c r="F23" i="23"/>
  <c r="F54" i="23" s="1"/>
  <c r="E23" i="23"/>
  <c r="E54" i="23" s="1"/>
  <c r="D23" i="23"/>
  <c r="D76" i="23" s="1"/>
  <c r="C23" i="23"/>
  <c r="C76" i="23" s="1"/>
  <c r="B23" i="23"/>
  <c r="B76" i="23" s="1"/>
  <c r="O18" i="23"/>
  <c r="N18" i="23"/>
  <c r="O15" i="23"/>
  <c r="N15" i="23"/>
  <c r="M15" i="23"/>
  <c r="L15" i="23"/>
  <c r="K15" i="23"/>
  <c r="J15" i="23"/>
  <c r="I15" i="23"/>
  <c r="H15" i="23"/>
  <c r="G15" i="23"/>
  <c r="F15" i="23"/>
  <c r="E15" i="23"/>
  <c r="D15" i="23"/>
  <c r="C15" i="23"/>
  <c r="B15" i="23"/>
  <c r="E91" i="7"/>
  <c r="C91" i="7"/>
  <c r="E91" i="3"/>
  <c r="C91" i="3"/>
  <c r="D91" i="13"/>
  <c r="C91" i="13"/>
  <c r="B90" i="25" l="1"/>
  <c r="B94" i="25"/>
  <c r="C68" i="25"/>
  <c r="C72" i="25"/>
  <c r="C89" i="25"/>
  <c r="C93" i="25"/>
  <c r="C90" i="25"/>
  <c r="C94" i="25"/>
  <c r="B93" i="25"/>
  <c r="B89" i="25"/>
  <c r="B82" i="24"/>
  <c r="B81" i="24"/>
  <c r="B60" i="24"/>
  <c r="B85" i="24"/>
  <c r="B86" i="24"/>
  <c r="C86" i="24"/>
  <c r="B63" i="24"/>
  <c r="B37" i="24"/>
  <c r="B36" i="24"/>
  <c r="C44" i="24" s="1"/>
  <c r="C82" i="24"/>
  <c r="C81" i="24"/>
  <c r="B40" i="24"/>
  <c r="B41" i="24"/>
  <c r="C41" i="24" s="1"/>
  <c r="C81" i="23"/>
  <c r="C85" i="23"/>
  <c r="B64" i="23"/>
  <c r="B86" i="23"/>
  <c r="B85" i="23"/>
  <c r="B54" i="23"/>
  <c r="H76" i="23"/>
  <c r="G33" i="23"/>
  <c r="C54" i="23"/>
  <c r="G56" i="23"/>
  <c r="B63" i="23" s="1"/>
  <c r="I76" i="23"/>
  <c r="C82" i="23" s="1"/>
  <c r="B36" i="23"/>
  <c r="C44" i="23" s="1"/>
  <c r="D54" i="23"/>
  <c r="H56" i="23"/>
  <c r="G31" i="23"/>
  <c r="B37" i="23" s="1"/>
  <c r="I33" i="23"/>
  <c r="I56" i="23"/>
  <c r="K76" i="23"/>
  <c r="J54" i="23"/>
  <c r="C86" i="23"/>
  <c r="H33" i="23"/>
  <c r="L54" i="23"/>
  <c r="H31" i="23"/>
  <c r="B33" i="23"/>
  <c r="J33" i="23"/>
  <c r="G54" i="23"/>
  <c r="F89" i="7"/>
  <c r="F90" i="7"/>
  <c r="E90" i="7"/>
  <c r="O19" i="20"/>
  <c r="O25" i="20"/>
  <c r="O24" i="20"/>
  <c r="N25" i="20"/>
  <c r="N24" i="20"/>
  <c r="M78" i="22"/>
  <c r="L78" i="22"/>
  <c r="F78" i="22"/>
  <c r="E78" i="22"/>
  <c r="D78" i="22"/>
  <c r="B72" i="22"/>
  <c r="B71" i="22"/>
  <c r="B68" i="22"/>
  <c r="B67" i="22"/>
  <c r="H56" i="22"/>
  <c r="G56" i="22"/>
  <c r="F56" i="22"/>
  <c r="L54" i="22"/>
  <c r="K54" i="22"/>
  <c r="J54" i="22"/>
  <c r="D54" i="22"/>
  <c r="C54" i="22"/>
  <c r="B54" i="22"/>
  <c r="B49" i="22"/>
  <c r="B45" i="22"/>
  <c r="B44" i="22"/>
  <c r="O33" i="22"/>
  <c r="N33" i="22"/>
  <c r="H33" i="22"/>
  <c r="G33" i="22"/>
  <c r="F33" i="22"/>
  <c r="N31" i="22"/>
  <c r="M31" i="22"/>
  <c r="L31" i="22"/>
  <c r="F31" i="22"/>
  <c r="E31" i="22"/>
  <c r="D31" i="22"/>
  <c r="O25" i="22"/>
  <c r="N25" i="22"/>
  <c r="M25" i="22"/>
  <c r="M56" i="22" s="1"/>
  <c r="L25" i="22"/>
  <c r="L56" i="22" s="1"/>
  <c r="K25" i="22"/>
  <c r="K78" i="22" s="1"/>
  <c r="J25" i="22"/>
  <c r="J78" i="22" s="1"/>
  <c r="I25" i="22"/>
  <c r="I78" i="22" s="1"/>
  <c r="H25" i="22"/>
  <c r="H78" i="22" s="1"/>
  <c r="G25" i="22"/>
  <c r="G78" i="22" s="1"/>
  <c r="F25" i="22"/>
  <c r="E25" i="22"/>
  <c r="E56" i="22" s="1"/>
  <c r="D25" i="22"/>
  <c r="D56" i="22" s="1"/>
  <c r="C25" i="22"/>
  <c r="C78" i="22" s="1"/>
  <c r="B25" i="22"/>
  <c r="B78" i="22" s="1"/>
  <c r="O23" i="22"/>
  <c r="O31" i="22" s="1"/>
  <c r="N23" i="22"/>
  <c r="M23" i="22"/>
  <c r="M76" i="22" s="1"/>
  <c r="L23" i="22"/>
  <c r="L76" i="22" s="1"/>
  <c r="K23" i="22"/>
  <c r="K31" i="22" s="1"/>
  <c r="J23" i="22"/>
  <c r="J76" i="22" s="1"/>
  <c r="I23" i="22"/>
  <c r="I54" i="22" s="1"/>
  <c r="H23" i="22"/>
  <c r="H54" i="22" s="1"/>
  <c r="G23" i="22"/>
  <c r="G76" i="22" s="1"/>
  <c r="F23" i="22"/>
  <c r="F76" i="22" s="1"/>
  <c r="E23" i="22"/>
  <c r="E76" i="22" s="1"/>
  <c r="D23" i="22"/>
  <c r="D76" i="22" s="1"/>
  <c r="C23" i="22"/>
  <c r="C31" i="22" s="1"/>
  <c r="B23" i="22"/>
  <c r="B31" i="22" s="1"/>
  <c r="N18" i="22"/>
  <c r="O15" i="22"/>
  <c r="N15" i="22"/>
  <c r="M15" i="22"/>
  <c r="L15" i="22"/>
  <c r="K15" i="22"/>
  <c r="J15" i="22"/>
  <c r="I15" i="22"/>
  <c r="H15" i="22"/>
  <c r="G15" i="22"/>
  <c r="F15" i="22"/>
  <c r="E15" i="22"/>
  <c r="D15" i="22"/>
  <c r="C15" i="22"/>
  <c r="B15" i="22"/>
  <c r="E90" i="3"/>
  <c r="E90" i="13"/>
  <c r="D90" i="13"/>
  <c r="C90" i="24" l="1"/>
  <c r="C94" i="24"/>
  <c r="B94" i="24"/>
  <c r="B90" i="24"/>
  <c r="C37" i="24"/>
  <c r="C49" i="24"/>
  <c r="D49" i="24" s="1"/>
  <c r="C45" i="24"/>
  <c r="D45" i="24" s="1"/>
  <c r="B93" i="24"/>
  <c r="B89" i="24"/>
  <c r="C93" i="24"/>
  <c r="C89" i="24"/>
  <c r="C68" i="24"/>
  <c r="C72" i="24"/>
  <c r="C49" i="23"/>
  <c r="D49" i="23" s="1"/>
  <c r="C37" i="23"/>
  <c r="C45" i="23"/>
  <c r="D45" i="23" s="1"/>
  <c r="C90" i="23"/>
  <c r="C94" i="23"/>
  <c r="C93" i="23"/>
  <c r="C89" i="23"/>
  <c r="B82" i="23"/>
  <c r="B81" i="23"/>
  <c r="B40" i="23"/>
  <c r="B41" i="23"/>
  <c r="C41" i="23" s="1"/>
  <c r="B60" i="23"/>
  <c r="B59" i="23"/>
  <c r="E89" i="7"/>
  <c r="B85" i="22"/>
  <c r="B86" i="22"/>
  <c r="C85" i="22"/>
  <c r="C86" i="22"/>
  <c r="G31" i="22"/>
  <c r="B37" i="22" s="1"/>
  <c r="I33" i="22"/>
  <c r="E54" i="22"/>
  <c r="M54" i="22"/>
  <c r="I56" i="22"/>
  <c r="C76" i="22"/>
  <c r="K76" i="22"/>
  <c r="B76" i="22"/>
  <c r="H31" i="22"/>
  <c r="B33" i="22"/>
  <c r="J33" i="22"/>
  <c r="F54" i="22"/>
  <c r="B56" i="22"/>
  <c r="J56" i="22"/>
  <c r="I31" i="22"/>
  <c r="C33" i="22"/>
  <c r="K33" i="22"/>
  <c r="G54" i="22"/>
  <c r="B60" i="22" s="1"/>
  <c r="C56" i="22"/>
  <c r="K56" i="22"/>
  <c r="H76" i="22"/>
  <c r="I76" i="22"/>
  <c r="J31" i="22"/>
  <c r="D33" i="22"/>
  <c r="L33" i="22"/>
  <c r="E33" i="22"/>
  <c r="M33" i="22"/>
  <c r="N19" i="20"/>
  <c r="J78" i="21"/>
  <c r="G78" i="21"/>
  <c r="F78" i="21"/>
  <c r="B78" i="21"/>
  <c r="B72" i="21"/>
  <c r="B71" i="21"/>
  <c r="B68" i="21"/>
  <c r="B67" i="21"/>
  <c r="I56" i="21"/>
  <c r="H56" i="21"/>
  <c r="M54" i="21"/>
  <c r="L54" i="21"/>
  <c r="H54" i="21"/>
  <c r="E54" i="21"/>
  <c r="D54" i="21"/>
  <c r="B49" i="21"/>
  <c r="B45" i="21"/>
  <c r="B44" i="21"/>
  <c r="K33" i="21"/>
  <c r="I33" i="21"/>
  <c r="H33" i="21"/>
  <c r="C33" i="21"/>
  <c r="O31" i="21"/>
  <c r="N31" i="21"/>
  <c r="I31" i="21"/>
  <c r="G31" i="21"/>
  <c r="F31" i="21"/>
  <c r="O25" i="21"/>
  <c r="O33" i="21" s="1"/>
  <c r="N25" i="21"/>
  <c r="N33" i="21" s="1"/>
  <c r="M25" i="21"/>
  <c r="M78" i="21" s="1"/>
  <c r="L25" i="21"/>
  <c r="L56" i="21" s="1"/>
  <c r="K25" i="21"/>
  <c r="K78" i="21" s="1"/>
  <c r="J25" i="21"/>
  <c r="J56" i="21" s="1"/>
  <c r="I25" i="21"/>
  <c r="I78" i="21" s="1"/>
  <c r="H25" i="21"/>
  <c r="H78" i="21" s="1"/>
  <c r="G25" i="21"/>
  <c r="G56" i="21" s="1"/>
  <c r="F25" i="21"/>
  <c r="F56" i="21" s="1"/>
  <c r="E25" i="21"/>
  <c r="E78" i="21" s="1"/>
  <c r="D25" i="21"/>
  <c r="D78" i="21" s="1"/>
  <c r="C25" i="21"/>
  <c r="C78" i="21" s="1"/>
  <c r="B25" i="21"/>
  <c r="B56" i="21" s="1"/>
  <c r="O23" i="21"/>
  <c r="N23" i="21"/>
  <c r="M23" i="21"/>
  <c r="M31" i="21" s="1"/>
  <c r="L23" i="21"/>
  <c r="L31" i="21" s="1"/>
  <c r="K23" i="21"/>
  <c r="K54" i="21" s="1"/>
  <c r="J23" i="21"/>
  <c r="J54" i="21" s="1"/>
  <c r="I23" i="21"/>
  <c r="I76" i="21" s="1"/>
  <c r="H23" i="21"/>
  <c r="H76" i="21" s="1"/>
  <c r="G23" i="21"/>
  <c r="G76" i="21" s="1"/>
  <c r="F23" i="21"/>
  <c r="F76" i="21" s="1"/>
  <c r="E23" i="21"/>
  <c r="E31" i="21" s="1"/>
  <c r="D23" i="21"/>
  <c r="D31" i="21" s="1"/>
  <c r="C23" i="21"/>
  <c r="C54" i="21" s="1"/>
  <c r="B23" i="21"/>
  <c r="B54" i="21" s="1"/>
  <c r="O15" i="21"/>
  <c r="N15" i="21"/>
  <c r="M15" i="21"/>
  <c r="L15" i="21"/>
  <c r="K15" i="21"/>
  <c r="J15" i="21"/>
  <c r="I15" i="21"/>
  <c r="H15" i="21"/>
  <c r="G15" i="21"/>
  <c r="F15" i="21"/>
  <c r="E15" i="21"/>
  <c r="D15" i="21"/>
  <c r="C15" i="21"/>
  <c r="B15" i="21"/>
  <c r="F85" i="7"/>
  <c r="F86" i="7"/>
  <c r="F87" i="7"/>
  <c r="F88" i="7"/>
  <c r="E89" i="3"/>
  <c r="C89" i="3"/>
  <c r="E89" i="13"/>
  <c r="C89" i="13"/>
  <c r="A89" i="13"/>
  <c r="D89" i="13"/>
  <c r="B90" i="23" l="1"/>
  <c r="B94" i="23"/>
  <c r="B93" i="23"/>
  <c r="B89" i="23"/>
  <c r="C68" i="23"/>
  <c r="C72" i="23"/>
  <c r="C49" i="22"/>
  <c r="D49" i="22" s="1"/>
  <c r="C37" i="22"/>
  <c r="C45" i="22"/>
  <c r="D45" i="22" s="1"/>
  <c r="C68" i="22"/>
  <c r="C72" i="22"/>
  <c r="B81" i="22"/>
  <c r="B82" i="22"/>
  <c r="B59" i="22"/>
  <c r="B41" i="22"/>
  <c r="C41" i="22" s="1"/>
  <c r="B40" i="22"/>
  <c r="C82" i="22"/>
  <c r="C81" i="22"/>
  <c r="B36" i="22"/>
  <c r="C44" i="22" s="1"/>
  <c r="B64" i="22"/>
  <c r="B63" i="22"/>
  <c r="B64" i="21"/>
  <c r="C76" i="21"/>
  <c r="K76" i="21"/>
  <c r="H31" i="21"/>
  <c r="B33" i="21"/>
  <c r="J33" i="21"/>
  <c r="F54" i="21"/>
  <c r="B60" i="21" s="1"/>
  <c r="D76" i="21"/>
  <c r="L76" i="21"/>
  <c r="B76" i="21"/>
  <c r="G54" i="21"/>
  <c r="C56" i="21"/>
  <c r="K56" i="21"/>
  <c r="E76" i="21"/>
  <c r="M76" i="21"/>
  <c r="J31" i="21"/>
  <c r="L33" i="21"/>
  <c r="C31" i="21"/>
  <c r="K31" i="21"/>
  <c r="E33" i="21"/>
  <c r="M33" i="21"/>
  <c r="I54" i="21"/>
  <c r="E56" i="21"/>
  <c r="M56" i="21"/>
  <c r="B63" i="21" s="1"/>
  <c r="J76" i="21"/>
  <c r="B31" i="21"/>
  <c r="D33" i="21"/>
  <c r="D56" i="21"/>
  <c r="F33" i="21"/>
  <c r="L78" i="21"/>
  <c r="C86" i="21" s="1"/>
  <c r="G33" i="21"/>
  <c r="E88" i="7"/>
  <c r="B88" i="7"/>
  <c r="B94" i="22" l="1"/>
  <c r="B90" i="22"/>
  <c r="C90" i="22"/>
  <c r="C94" i="22"/>
  <c r="B93" i="22"/>
  <c r="B89" i="22"/>
  <c r="C93" i="22"/>
  <c r="C89" i="22"/>
  <c r="C72" i="21"/>
  <c r="C68" i="21"/>
  <c r="B86" i="21"/>
  <c r="B36" i="21"/>
  <c r="C44" i="21" s="1"/>
  <c r="B37" i="21"/>
  <c r="B59" i="21"/>
  <c r="C82" i="21"/>
  <c r="C81" i="21"/>
  <c r="C85" i="21"/>
  <c r="B82" i="21"/>
  <c r="B81" i="21"/>
  <c r="B85" i="21"/>
  <c r="B41" i="21"/>
  <c r="C41" i="21" s="1"/>
  <c r="B40" i="21"/>
  <c r="D52" i="1"/>
  <c r="D53" i="1"/>
  <c r="C94" i="21" l="1"/>
  <c r="C90" i="21"/>
  <c r="B93" i="21"/>
  <c r="B89" i="21"/>
  <c r="C93" i="21"/>
  <c r="C89" i="21"/>
  <c r="C49" i="21"/>
  <c r="D49" i="21" s="1"/>
  <c r="C45" i="21"/>
  <c r="D45" i="21" s="1"/>
  <c r="C37" i="21"/>
  <c r="B94" i="21"/>
  <c r="B90" i="21"/>
  <c r="O32" i="20"/>
  <c r="O26" i="20"/>
  <c r="O34" i="20" s="1"/>
  <c r="D126"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31" i="13"/>
  <c r="E88" i="3"/>
  <c r="D88" i="13"/>
  <c r="B73" i="20"/>
  <c r="B72" i="20"/>
  <c r="B69" i="20"/>
  <c r="B68" i="20"/>
  <c r="B50" i="20"/>
  <c r="B46" i="20"/>
  <c r="B45" i="20"/>
  <c r="N26" i="20"/>
  <c r="N34" i="20" s="1"/>
  <c r="M26" i="20"/>
  <c r="M79" i="20" s="1"/>
  <c r="L26" i="20"/>
  <c r="L34" i="20" s="1"/>
  <c r="K26" i="20"/>
  <c r="K57" i="20" s="1"/>
  <c r="J26" i="20"/>
  <c r="J79" i="20" s="1"/>
  <c r="I26" i="20"/>
  <c r="I57" i="20" s="1"/>
  <c r="H26" i="20"/>
  <c r="H57" i="20" s="1"/>
  <c r="G26" i="20"/>
  <c r="G79" i="20" s="1"/>
  <c r="F26" i="20"/>
  <c r="F79" i="20" s="1"/>
  <c r="E26" i="20"/>
  <c r="E79" i="20" s="1"/>
  <c r="D26" i="20"/>
  <c r="D79" i="20" s="1"/>
  <c r="C26" i="20"/>
  <c r="C79" i="20" s="1"/>
  <c r="B26" i="20"/>
  <c r="B79" i="20" s="1"/>
  <c r="N32" i="20"/>
  <c r="M24" i="20"/>
  <c r="M55" i="20" s="1"/>
  <c r="L24" i="20"/>
  <c r="L32" i="20" s="1"/>
  <c r="K24" i="20"/>
  <c r="K77" i="20" s="1"/>
  <c r="J24" i="20"/>
  <c r="J77" i="20" s="1"/>
  <c r="I24" i="20"/>
  <c r="I77" i="20" s="1"/>
  <c r="H24" i="20"/>
  <c r="H77" i="20" s="1"/>
  <c r="G24" i="20"/>
  <c r="G77" i="20" s="1"/>
  <c r="F24" i="20"/>
  <c r="F77" i="20" s="1"/>
  <c r="E24" i="20"/>
  <c r="E55" i="20" s="1"/>
  <c r="D24" i="20"/>
  <c r="D55" i="20" s="1"/>
  <c r="C24" i="20"/>
  <c r="C77" i="20" s="1"/>
  <c r="B24" i="20"/>
  <c r="B77" i="20" s="1"/>
  <c r="O16" i="20"/>
  <c r="N16" i="20"/>
  <c r="M16" i="20"/>
  <c r="L16" i="20"/>
  <c r="K16" i="20"/>
  <c r="J16" i="20"/>
  <c r="I16" i="20"/>
  <c r="H16" i="20"/>
  <c r="G16" i="20"/>
  <c r="F16" i="20"/>
  <c r="E16" i="20"/>
  <c r="D16" i="20"/>
  <c r="C16" i="20"/>
  <c r="B16" i="20"/>
  <c r="K34" i="20" l="1"/>
  <c r="J57" i="20"/>
  <c r="G55" i="20"/>
  <c r="E32" i="20"/>
  <c r="I34" i="20"/>
  <c r="D77" i="20"/>
  <c r="F55" i="20"/>
  <c r="I79" i="20"/>
  <c r="K32" i="20"/>
  <c r="M57" i="20"/>
  <c r="M32" i="20"/>
  <c r="L77" i="20"/>
  <c r="I55" i="20"/>
  <c r="H34" i="20"/>
  <c r="H79" i="20"/>
  <c r="G32" i="20"/>
  <c r="E57" i="20"/>
  <c r="D32" i="20"/>
  <c r="B57" i="20"/>
  <c r="E77" i="20"/>
  <c r="M77" i="20"/>
  <c r="F32" i="20"/>
  <c r="B34" i="20"/>
  <c r="J34" i="20"/>
  <c r="H55" i="20"/>
  <c r="D57" i="20"/>
  <c r="L57" i="20"/>
  <c r="C57" i="20"/>
  <c r="C34" i="20"/>
  <c r="K79" i="20"/>
  <c r="H32" i="20"/>
  <c r="D34" i="20"/>
  <c r="M34" i="20"/>
  <c r="B55" i="20"/>
  <c r="J55" i="20"/>
  <c r="F57" i="20"/>
  <c r="L79" i="20"/>
  <c r="I32" i="20"/>
  <c r="E34" i="20"/>
  <c r="C55" i="20"/>
  <c r="K55" i="20"/>
  <c r="G57" i="20"/>
  <c r="B32" i="20"/>
  <c r="J32" i="20"/>
  <c r="F34" i="20"/>
  <c r="L55" i="20"/>
  <c r="C32" i="20"/>
  <c r="G34" i="20"/>
  <c r="E87" i="3"/>
  <c r="D87" i="13"/>
  <c r="E87" i="7"/>
  <c r="J78" i="19"/>
  <c r="H78" i="19"/>
  <c r="B72" i="19"/>
  <c r="B71" i="19"/>
  <c r="B68" i="19"/>
  <c r="B67" i="19"/>
  <c r="J56" i="19"/>
  <c r="F56" i="19"/>
  <c r="B49" i="19"/>
  <c r="B45" i="19"/>
  <c r="B44" i="19"/>
  <c r="H31" i="19"/>
  <c r="F31" i="19"/>
  <c r="N25" i="19"/>
  <c r="N33" i="19" s="1"/>
  <c r="M25" i="19"/>
  <c r="M78" i="19" s="1"/>
  <c r="L25" i="19"/>
  <c r="L33" i="19" s="1"/>
  <c r="K25" i="19"/>
  <c r="K56" i="19" s="1"/>
  <c r="J25" i="19"/>
  <c r="J33" i="19" s="1"/>
  <c r="I25" i="19"/>
  <c r="I78" i="19" s="1"/>
  <c r="H25" i="19"/>
  <c r="H56" i="19" s="1"/>
  <c r="G25" i="19"/>
  <c r="G78" i="19" s="1"/>
  <c r="F25" i="19"/>
  <c r="F78" i="19" s="1"/>
  <c r="E25" i="19"/>
  <c r="E78" i="19" s="1"/>
  <c r="D25" i="19"/>
  <c r="D78" i="19" s="1"/>
  <c r="C25" i="19"/>
  <c r="C56" i="19" s="1"/>
  <c r="B25" i="19"/>
  <c r="B56" i="19" s="1"/>
  <c r="N23" i="19"/>
  <c r="N31" i="19" s="1"/>
  <c r="M23" i="19"/>
  <c r="M76" i="19" s="1"/>
  <c r="L23" i="19"/>
  <c r="L76" i="19" s="1"/>
  <c r="K23" i="19"/>
  <c r="K76" i="19" s="1"/>
  <c r="J23" i="19"/>
  <c r="J54" i="19" s="1"/>
  <c r="I23" i="19"/>
  <c r="I76" i="19" s="1"/>
  <c r="H23" i="19"/>
  <c r="H76" i="19" s="1"/>
  <c r="G23" i="19"/>
  <c r="G54" i="19" s="1"/>
  <c r="F23" i="19"/>
  <c r="F54" i="19" s="1"/>
  <c r="E23" i="19"/>
  <c r="E76" i="19" s="1"/>
  <c r="D23" i="19"/>
  <c r="D76" i="19" s="1"/>
  <c r="C23" i="19"/>
  <c r="C76" i="19" s="1"/>
  <c r="B23" i="19"/>
  <c r="B76" i="19" s="1"/>
  <c r="O15" i="19"/>
  <c r="N15" i="19"/>
  <c r="M15" i="19"/>
  <c r="L15" i="19"/>
  <c r="K15" i="19"/>
  <c r="J15" i="19"/>
  <c r="I15" i="19"/>
  <c r="H15" i="19"/>
  <c r="G15" i="19"/>
  <c r="F15" i="19"/>
  <c r="E15" i="19"/>
  <c r="D15" i="19"/>
  <c r="C15" i="19"/>
  <c r="B15" i="19"/>
  <c r="C82" i="20" l="1"/>
  <c r="C90" i="20" s="1"/>
  <c r="C86" i="20"/>
  <c r="B87" i="20"/>
  <c r="C87" i="20"/>
  <c r="B65" i="20"/>
  <c r="C83" i="20"/>
  <c r="B64" i="20"/>
  <c r="B82" i="20"/>
  <c r="B61" i="20"/>
  <c r="B60" i="20"/>
  <c r="B41" i="20"/>
  <c r="B42" i="20"/>
  <c r="C42" i="20" s="1"/>
  <c r="B83" i="20"/>
  <c r="B86" i="20"/>
  <c r="B38" i="20"/>
  <c r="B37" i="20"/>
  <c r="C45" i="20" s="1"/>
  <c r="M31" i="19"/>
  <c r="L78" i="19"/>
  <c r="L56" i="19"/>
  <c r="H33" i="19"/>
  <c r="H54" i="19"/>
  <c r="O25" i="19"/>
  <c r="D56" i="19"/>
  <c r="D33" i="19"/>
  <c r="B33" i="19"/>
  <c r="B78" i="19"/>
  <c r="F76" i="19"/>
  <c r="B82" i="19" s="1"/>
  <c r="G31" i="19"/>
  <c r="C33" i="19"/>
  <c r="I54" i="19"/>
  <c r="E56" i="19"/>
  <c r="M56" i="19"/>
  <c r="G76" i="19"/>
  <c r="C78" i="19"/>
  <c r="K78" i="19"/>
  <c r="M33" i="19"/>
  <c r="B54" i="19"/>
  <c r="O23" i="19"/>
  <c r="I31" i="19"/>
  <c r="E33" i="19"/>
  <c r="C54" i="19"/>
  <c r="K54" i="19"/>
  <c r="G56" i="19"/>
  <c r="B31" i="19"/>
  <c r="J31" i="19"/>
  <c r="F33" i="19"/>
  <c r="D54" i="19"/>
  <c r="L54" i="19"/>
  <c r="J76" i="19"/>
  <c r="C31" i="19"/>
  <c r="L31" i="19"/>
  <c r="G33" i="19"/>
  <c r="E54" i="19"/>
  <c r="M54" i="19"/>
  <c r="I56" i="19"/>
  <c r="D31" i="19"/>
  <c r="E31" i="19"/>
  <c r="I33" i="19"/>
  <c r="N4" i="8"/>
  <c r="C94" i="20" l="1"/>
  <c r="B94" i="20"/>
  <c r="B90" i="20"/>
  <c r="B91" i="20"/>
  <c r="B95" i="20"/>
  <c r="C91" i="20"/>
  <c r="C95" i="20"/>
  <c r="C46" i="20"/>
  <c r="D46" i="20" s="1"/>
  <c r="C50" i="20"/>
  <c r="D50" i="20" s="1"/>
  <c r="C38" i="20"/>
  <c r="C73" i="20"/>
  <c r="C69" i="20"/>
  <c r="B63" i="19"/>
  <c r="B40" i="19"/>
  <c r="B64" i="19"/>
  <c r="B41" i="19"/>
  <c r="C41" i="19" s="1"/>
  <c r="B94" i="19"/>
  <c r="B90" i="19"/>
  <c r="C86" i="19"/>
  <c r="C85" i="19"/>
  <c r="B86" i="19"/>
  <c r="C81" i="19"/>
  <c r="O24" i="19"/>
  <c r="O26" i="19"/>
  <c r="C82" i="19"/>
  <c r="B60" i="19"/>
  <c r="B59" i="19"/>
  <c r="B81" i="19"/>
  <c r="B37" i="19"/>
  <c r="B36" i="19"/>
  <c r="C44" i="19" s="1"/>
  <c r="B85" i="19"/>
  <c r="H78" i="18"/>
  <c r="G78" i="18"/>
  <c r="F78" i="18"/>
  <c r="M76" i="18"/>
  <c r="J76" i="18"/>
  <c r="F76" i="18"/>
  <c r="E76" i="18"/>
  <c r="B76" i="18"/>
  <c r="B72" i="18"/>
  <c r="B71" i="18"/>
  <c r="B68" i="18"/>
  <c r="B67" i="18"/>
  <c r="G54" i="18"/>
  <c r="F54" i="18"/>
  <c r="B49" i="18"/>
  <c r="B45" i="18"/>
  <c r="B44" i="18"/>
  <c r="F33" i="18"/>
  <c r="N31" i="18"/>
  <c r="F31" i="18"/>
  <c r="N25" i="18"/>
  <c r="N33" i="18" s="1"/>
  <c r="M25" i="18"/>
  <c r="M78" i="18" s="1"/>
  <c r="L25" i="18"/>
  <c r="L78" i="18" s="1"/>
  <c r="K25" i="18"/>
  <c r="K78" i="18" s="1"/>
  <c r="J25" i="18"/>
  <c r="J78" i="18" s="1"/>
  <c r="I25" i="18"/>
  <c r="I78" i="18" s="1"/>
  <c r="H25" i="18"/>
  <c r="H33" i="18" s="1"/>
  <c r="G25" i="18"/>
  <c r="G56" i="18" s="1"/>
  <c r="F25" i="18"/>
  <c r="F56" i="18" s="1"/>
  <c r="E25" i="18"/>
  <c r="E78" i="18" s="1"/>
  <c r="D25" i="18"/>
  <c r="D78" i="18" s="1"/>
  <c r="C25" i="18"/>
  <c r="C56" i="18" s="1"/>
  <c r="B25" i="18"/>
  <c r="B78" i="18" s="1"/>
  <c r="N23" i="18"/>
  <c r="M23" i="18"/>
  <c r="M54" i="18" s="1"/>
  <c r="L23" i="18"/>
  <c r="L76" i="18" s="1"/>
  <c r="K23" i="18"/>
  <c r="K54" i="18" s="1"/>
  <c r="J23" i="18"/>
  <c r="J54" i="18" s="1"/>
  <c r="I23" i="18"/>
  <c r="I76" i="18" s="1"/>
  <c r="H23" i="18"/>
  <c r="H54" i="18" s="1"/>
  <c r="G23" i="18"/>
  <c r="G76" i="18" s="1"/>
  <c r="F23" i="18"/>
  <c r="E23" i="18"/>
  <c r="E54" i="18" s="1"/>
  <c r="D23" i="18"/>
  <c r="O23" i="18" s="1"/>
  <c r="C23" i="18"/>
  <c r="C54" i="18" s="1"/>
  <c r="B23" i="18"/>
  <c r="B54" i="18" s="1"/>
  <c r="O15" i="18"/>
  <c r="N15" i="18"/>
  <c r="M15" i="18"/>
  <c r="L15" i="18"/>
  <c r="K15" i="18"/>
  <c r="J15" i="18"/>
  <c r="I15" i="18"/>
  <c r="H15" i="18"/>
  <c r="G15" i="18"/>
  <c r="F15" i="18"/>
  <c r="E15" i="18"/>
  <c r="D15" i="18"/>
  <c r="C15" i="18"/>
  <c r="B15" i="18"/>
  <c r="E86" i="3"/>
  <c r="D86" i="13"/>
  <c r="E86" i="7"/>
  <c r="C72" i="19" l="1"/>
  <c r="C68" i="19"/>
  <c r="C94" i="19"/>
  <c r="C90" i="19"/>
  <c r="C37" i="19"/>
  <c r="C45" i="19"/>
  <c r="D45" i="19" s="1"/>
  <c r="C49" i="19"/>
  <c r="D49" i="19" s="1"/>
  <c r="M31" i="18"/>
  <c r="L31" i="18"/>
  <c r="L54" i="18"/>
  <c r="K76" i="18"/>
  <c r="J31" i="18"/>
  <c r="H56" i="18"/>
  <c r="G33" i="18"/>
  <c r="E31" i="18"/>
  <c r="D31" i="18"/>
  <c r="D76" i="18"/>
  <c r="D54" i="18"/>
  <c r="C76" i="18"/>
  <c r="C31" i="18"/>
  <c r="B31" i="18"/>
  <c r="O26" i="18"/>
  <c r="O24" i="18"/>
  <c r="J56" i="18"/>
  <c r="I33" i="18"/>
  <c r="K56" i="18"/>
  <c r="D56" i="18"/>
  <c r="G31" i="18"/>
  <c r="C33" i="18"/>
  <c r="L33" i="18"/>
  <c r="I54" i="18"/>
  <c r="E56" i="18"/>
  <c r="M56" i="18"/>
  <c r="C78" i="18"/>
  <c r="B86" i="18" s="1"/>
  <c r="I56" i="18"/>
  <c r="J33" i="18"/>
  <c r="L56" i="18"/>
  <c r="O25" i="18"/>
  <c r="H31" i="18"/>
  <c r="D33" i="18"/>
  <c r="M33" i="18"/>
  <c r="H76" i="18"/>
  <c r="B56" i="18"/>
  <c r="B33" i="18"/>
  <c r="I31" i="18"/>
  <c r="E33" i="18"/>
  <c r="K78" i="16"/>
  <c r="J78" i="16"/>
  <c r="G78" i="16"/>
  <c r="C78" i="16"/>
  <c r="B78" i="16"/>
  <c r="K76" i="16"/>
  <c r="J76" i="16"/>
  <c r="G76" i="16"/>
  <c r="F76" i="16"/>
  <c r="C76" i="16"/>
  <c r="B76" i="16"/>
  <c r="B72" i="16"/>
  <c r="B71" i="16"/>
  <c r="B68" i="16"/>
  <c r="B67" i="16"/>
  <c r="L56" i="16"/>
  <c r="H56" i="16"/>
  <c r="D56" i="16"/>
  <c r="H54" i="16"/>
  <c r="B49" i="16"/>
  <c r="B45" i="16"/>
  <c r="B44" i="16"/>
  <c r="L33" i="16"/>
  <c r="J33" i="16"/>
  <c r="G33" i="16"/>
  <c r="D33" i="16"/>
  <c r="C33" i="16"/>
  <c r="B33" i="16"/>
  <c r="J31" i="16"/>
  <c r="G31" i="16"/>
  <c r="F31" i="16"/>
  <c r="C31" i="16"/>
  <c r="B31" i="16"/>
  <c r="O25" i="16"/>
  <c r="N25" i="16"/>
  <c r="N33" i="16" s="1"/>
  <c r="M25" i="16"/>
  <c r="M78" i="16" s="1"/>
  <c r="L25" i="16"/>
  <c r="L78" i="16" s="1"/>
  <c r="K25" i="16"/>
  <c r="K56" i="16" s="1"/>
  <c r="J25" i="16"/>
  <c r="J56" i="16" s="1"/>
  <c r="I25" i="16"/>
  <c r="I78" i="16" s="1"/>
  <c r="H25" i="16"/>
  <c r="H78" i="16" s="1"/>
  <c r="G25" i="16"/>
  <c r="G56" i="16" s="1"/>
  <c r="F25" i="16"/>
  <c r="F33" i="16" s="1"/>
  <c r="E25" i="16"/>
  <c r="E78" i="16" s="1"/>
  <c r="D25" i="16"/>
  <c r="D78" i="16" s="1"/>
  <c r="C25" i="16"/>
  <c r="C56" i="16" s="1"/>
  <c r="B25" i="16"/>
  <c r="B56" i="16" s="1"/>
  <c r="N23" i="16"/>
  <c r="N31" i="16" s="1"/>
  <c r="M23" i="16"/>
  <c r="M76" i="16" s="1"/>
  <c r="L23" i="16"/>
  <c r="L76" i="16" s="1"/>
  <c r="K23" i="16"/>
  <c r="K54" i="16" s="1"/>
  <c r="J23" i="16"/>
  <c r="J54" i="16" s="1"/>
  <c r="I23" i="16"/>
  <c r="I76" i="16" s="1"/>
  <c r="H23" i="16"/>
  <c r="H76" i="16" s="1"/>
  <c r="G23" i="16"/>
  <c r="G54" i="16" s="1"/>
  <c r="F23" i="16"/>
  <c r="F54" i="16" s="1"/>
  <c r="E23" i="16"/>
  <c r="E76" i="16" s="1"/>
  <c r="D23" i="16"/>
  <c r="D76" i="16" s="1"/>
  <c r="C23" i="16"/>
  <c r="C54" i="16" s="1"/>
  <c r="B23" i="16"/>
  <c r="B54" i="16" s="1"/>
  <c r="O15" i="16"/>
  <c r="N15" i="16"/>
  <c r="M15" i="16"/>
  <c r="L15" i="16"/>
  <c r="K15" i="16"/>
  <c r="J15" i="16"/>
  <c r="I15" i="16"/>
  <c r="H15" i="16"/>
  <c r="G15" i="16"/>
  <c r="F15" i="16"/>
  <c r="E15" i="16"/>
  <c r="D15" i="16"/>
  <c r="C15" i="16"/>
  <c r="B15" i="16"/>
  <c r="B59" i="18" l="1"/>
  <c r="B81" i="18"/>
  <c r="B85" i="18"/>
  <c r="B82" i="18"/>
  <c r="B37" i="18"/>
  <c r="C37" i="18" s="1"/>
  <c r="B36" i="18"/>
  <c r="C44" i="18" s="1"/>
  <c r="B90" i="18"/>
  <c r="B94" i="18"/>
  <c r="B40" i="18"/>
  <c r="B41" i="18"/>
  <c r="C41" i="18" s="1"/>
  <c r="C81" i="18"/>
  <c r="B60" i="18"/>
  <c r="C86" i="18"/>
  <c r="C85" i="18"/>
  <c r="C82" i="18"/>
  <c r="B64" i="18"/>
  <c r="B63" i="18"/>
  <c r="B82" i="16"/>
  <c r="B40" i="16"/>
  <c r="C82" i="16"/>
  <c r="I54" i="16"/>
  <c r="M56" i="16"/>
  <c r="H31" i="16"/>
  <c r="M33" i="16"/>
  <c r="F56" i="16"/>
  <c r="B63" i="16" s="1"/>
  <c r="E56" i="16"/>
  <c r="B64" i="16" s="1"/>
  <c r="O23" i="16"/>
  <c r="I31" i="16"/>
  <c r="E33" i="16"/>
  <c r="D54" i="16"/>
  <c r="B60" i="16" s="1"/>
  <c r="L54" i="16"/>
  <c r="F78" i="16"/>
  <c r="C86" i="16" s="1"/>
  <c r="B81" i="16"/>
  <c r="L31" i="16"/>
  <c r="C81" i="16"/>
  <c r="M54" i="16"/>
  <c r="I56" i="16"/>
  <c r="D31" i="16"/>
  <c r="B37" i="16" s="1"/>
  <c r="M31" i="16"/>
  <c r="H33" i="16"/>
  <c r="E54" i="16"/>
  <c r="E31" i="16"/>
  <c r="I33" i="16"/>
  <c r="B41" i="16" s="1"/>
  <c r="C41" i="16" s="1"/>
  <c r="C45" i="18" l="1"/>
  <c r="D45" i="18" s="1"/>
  <c r="C49" i="18"/>
  <c r="D49" i="18" s="1"/>
  <c r="C72" i="18"/>
  <c r="C68" i="18"/>
  <c r="C94" i="18"/>
  <c r="C90" i="18"/>
  <c r="C37" i="16"/>
  <c r="C45" i="16"/>
  <c r="D45" i="16" s="1"/>
  <c r="C49" i="16"/>
  <c r="D49" i="16" s="1"/>
  <c r="C68" i="16"/>
  <c r="C72" i="16"/>
  <c r="B59" i="16"/>
  <c r="C85" i="16"/>
  <c r="O24" i="16"/>
  <c r="O26" i="16"/>
  <c r="B94" i="16"/>
  <c r="B90" i="16"/>
  <c r="C94" i="16"/>
  <c r="C90" i="16"/>
  <c r="B85" i="16"/>
  <c r="B36" i="16"/>
  <c r="C44" i="16" s="1"/>
  <c r="B86" i="16"/>
  <c r="J78" i="17" l="1"/>
  <c r="I78" i="17"/>
  <c r="H78" i="17"/>
  <c r="B78" i="17"/>
  <c r="G76" i="17"/>
  <c r="F76" i="17"/>
  <c r="E76" i="17"/>
  <c r="B72" i="17"/>
  <c r="B71" i="17"/>
  <c r="B68" i="17"/>
  <c r="B67" i="17"/>
  <c r="J56" i="17"/>
  <c r="B56" i="17"/>
  <c r="I54" i="17"/>
  <c r="H54" i="17"/>
  <c r="G54" i="17"/>
  <c r="F54" i="17"/>
  <c r="B49" i="17"/>
  <c r="B45" i="17"/>
  <c r="B44" i="17"/>
  <c r="J33" i="17"/>
  <c r="I33" i="17"/>
  <c r="H33" i="17"/>
  <c r="B33" i="17"/>
  <c r="N31" i="17"/>
  <c r="G31" i="17"/>
  <c r="F31" i="17"/>
  <c r="E31" i="17"/>
  <c r="D31" i="17"/>
  <c r="N25" i="17"/>
  <c r="N33" i="17" s="1"/>
  <c r="M25" i="17"/>
  <c r="M78" i="17" s="1"/>
  <c r="L25" i="17"/>
  <c r="L33" i="17" s="1"/>
  <c r="K25" i="17"/>
  <c r="K56" i="17" s="1"/>
  <c r="J25" i="17"/>
  <c r="I25" i="17"/>
  <c r="I56" i="17" s="1"/>
  <c r="H25" i="17"/>
  <c r="H56" i="17" s="1"/>
  <c r="G25" i="17"/>
  <c r="G78" i="17" s="1"/>
  <c r="F25" i="17"/>
  <c r="F78" i="17" s="1"/>
  <c r="E25" i="17"/>
  <c r="E56" i="17" s="1"/>
  <c r="D25" i="17"/>
  <c r="D56" i="17" s="1"/>
  <c r="C25" i="17"/>
  <c r="C56" i="17" s="1"/>
  <c r="B25" i="17"/>
  <c r="N23" i="17"/>
  <c r="M23" i="17"/>
  <c r="M54" i="17" s="1"/>
  <c r="L23" i="17"/>
  <c r="L76" i="17" s="1"/>
  <c r="K23" i="17"/>
  <c r="K76" i="17" s="1"/>
  <c r="J23" i="17"/>
  <c r="J76" i="17" s="1"/>
  <c r="I23" i="17"/>
  <c r="I76" i="17" s="1"/>
  <c r="H23" i="17"/>
  <c r="H76" i="17" s="1"/>
  <c r="G23" i="17"/>
  <c r="F23" i="17"/>
  <c r="E23" i="17"/>
  <c r="E54" i="17" s="1"/>
  <c r="D23" i="17"/>
  <c r="D76" i="17" s="1"/>
  <c r="C23" i="17"/>
  <c r="C76" i="17" s="1"/>
  <c r="B23" i="17"/>
  <c r="B76" i="17" s="1"/>
  <c r="O15" i="17"/>
  <c r="N15" i="17"/>
  <c r="M15" i="17"/>
  <c r="L15" i="17"/>
  <c r="K15" i="17"/>
  <c r="J15" i="17"/>
  <c r="I15" i="17"/>
  <c r="H15" i="17"/>
  <c r="G15" i="17"/>
  <c r="F15" i="17"/>
  <c r="E15" i="17"/>
  <c r="D15" i="17"/>
  <c r="C15" i="17"/>
  <c r="B15" i="17"/>
  <c r="E85" i="3"/>
  <c r="D85" i="13"/>
  <c r="E85" i="7"/>
  <c r="M76" i="17" l="1"/>
  <c r="M31" i="17"/>
  <c r="C82" i="17"/>
  <c r="C81" i="17"/>
  <c r="B82" i="17"/>
  <c r="B81" i="17"/>
  <c r="L56" i="17"/>
  <c r="M56" i="17"/>
  <c r="O25" i="17"/>
  <c r="H31" i="17"/>
  <c r="D33" i="17"/>
  <c r="M33" i="17"/>
  <c r="B54" i="17"/>
  <c r="J54" i="17"/>
  <c r="F56" i="17"/>
  <c r="D78" i="17"/>
  <c r="L78" i="17"/>
  <c r="C33" i="17"/>
  <c r="K78" i="17"/>
  <c r="O23" i="17"/>
  <c r="I31" i="17"/>
  <c r="E33" i="17"/>
  <c r="C54" i="17"/>
  <c r="K54" i="17"/>
  <c r="G56" i="17"/>
  <c r="E78" i="17"/>
  <c r="C78" i="17"/>
  <c r="B31" i="17"/>
  <c r="J31" i="17"/>
  <c r="F33" i="17"/>
  <c r="D54" i="17"/>
  <c r="L54" i="17"/>
  <c r="C31" i="17"/>
  <c r="L31" i="17"/>
  <c r="G33" i="17"/>
  <c r="F98" i="7"/>
  <c r="F84" i="7"/>
  <c r="F84" i="3"/>
  <c r="C5" i="15"/>
  <c r="D5" i="15"/>
  <c r="E5" i="15"/>
  <c r="D4" i="15"/>
  <c r="E4" i="15"/>
  <c r="C4" i="15"/>
  <c r="K4" i="8"/>
  <c r="E84" i="7"/>
  <c r="D84" i="13"/>
  <c r="E84" i="3"/>
  <c r="F105" i="7" l="1"/>
  <c r="F107" i="7"/>
  <c r="F106" i="7"/>
  <c r="B41" i="17"/>
  <c r="C41" i="17" s="1"/>
  <c r="B63" i="17"/>
  <c r="B64" i="17"/>
  <c r="B37" i="17"/>
  <c r="B36" i="17"/>
  <c r="C44" i="17" s="1"/>
  <c r="O24" i="17"/>
  <c r="O26" i="17"/>
  <c r="B60" i="17"/>
  <c r="B59" i="17"/>
  <c r="C86" i="17"/>
  <c r="C85" i="17"/>
  <c r="B85" i="17"/>
  <c r="B40" i="17"/>
  <c r="B86" i="17"/>
  <c r="B94" i="17"/>
  <c r="B90" i="17"/>
  <c r="C94" i="17"/>
  <c r="C90" i="17"/>
  <c r="K25" i="14"/>
  <c r="K23" i="14"/>
  <c r="K15" i="14"/>
  <c r="K23" i="8"/>
  <c r="K25" i="8"/>
  <c r="K15" i="8"/>
  <c r="C72" i="17" l="1"/>
  <c r="C68" i="17"/>
  <c r="C37" i="17"/>
  <c r="C45" i="17"/>
  <c r="D45" i="17" s="1"/>
  <c r="C49" i="17"/>
  <c r="D49" i="17" s="1"/>
  <c r="F83" i="3"/>
  <c r="F83" i="7"/>
  <c r="E70" i="7"/>
  <c r="E71" i="7"/>
  <c r="E72" i="7"/>
  <c r="E73" i="7"/>
  <c r="E74" i="7"/>
  <c r="E75" i="7"/>
  <c r="E83" i="3"/>
  <c r="B8" i="15"/>
  <c r="B11" i="15" s="1"/>
  <c r="H78" i="14"/>
  <c r="B72" i="14"/>
  <c r="B71" i="14"/>
  <c r="B68" i="14"/>
  <c r="B67" i="14"/>
  <c r="H56" i="14"/>
  <c r="L54" i="14"/>
  <c r="B49" i="14"/>
  <c r="B45" i="14"/>
  <c r="B44" i="14"/>
  <c r="H33" i="14"/>
  <c r="M31" i="14"/>
  <c r="N25" i="14"/>
  <c r="N33" i="14" s="1"/>
  <c r="M25" i="14"/>
  <c r="M56" i="14" s="1"/>
  <c r="L25" i="14"/>
  <c r="L56" i="14" s="1"/>
  <c r="J25" i="14"/>
  <c r="J33" i="14" s="1"/>
  <c r="I25" i="14"/>
  <c r="I33" i="14" s="1"/>
  <c r="H25" i="14"/>
  <c r="G25" i="14"/>
  <c r="G78" i="14" s="1"/>
  <c r="F25" i="14"/>
  <c r="F78" i="14" s="1"/>
  <c r="E25" i="14"/>
  <c r="E56" i="14" s="1"/>
  <c r="D25" i="14"/>
  <c r="D56" i="14" s="1"/>
  <c r="C25" i="14"/>
  <c r="C56" i="14" s="1"/>
  <c r="B25" i="14"/>
  <c r="B33" i="14" s="1"/>
  <c r="N23" i="14"/>
  <c r="N31" i="14" s="1"/>
  <c r="M23" i="14"/>
  <c r="M54" i="14" s="1"/>
  <c r="L23" i="14"/>
  <c r="L31" i="14" s="1"/>
  <c r="J23" i="14"/>
  <c r="J31" i="14" s="1"/>
  <c r="I23" i="14"/>
  <c r="I76" i="14" s="1"/>
  <c r="H23" i="14"/>
  <c r="H76" i="14" s="1"/>
  <c r="G23" i="14"/>
  <c r="G54" i="14" s="1"/>
  <c r="F23" i="14"/>
  <c r="F76" i="14" s="1"/>
  <c r="E23" i="14"/>
  <c r="E31" i="14" s="1"/>
  <c r="D23" i="14"/>
  <c r="D54" i="14" s="1"/>
  <c r="C23" i="14"/>
  <c r="C31" i="14" s="1"/>
  <c r="B23" i="14"/>
  <c r="B54" i="14" s="1"/>
  <c r="O15" i="14"/>
  <c r="N15" i="14"/>
  <c r="M15" i="14"/>
  <c r="L15" i="14"/>
  <c r="J15" i="14"/>
  <c r="I15" i="14"/>
  <c r="H15" i="14"/>
  <c r="G15" i="14"/>
  <c r="F15" i="14"/>
  <c r="E15" i="14"/>
  <c r="D15" i="14"/>
  <c r="C15" i="14"/>
  <c r="B15" i="14"/>
  <c r="D83" i="13"/>
  <c r="E83" i="7"/>
  <c r="A83" i="7"/>
  <c r="L78" i="14" l="1"/>
  <c r="L76" i="14"/>
  <c r="F31" i="14"/>
  <c r="F54" i="14"/>
  <c r="D31" i="14"/>
  <c r="H54" i="14"/>
  <c r="F56" i="14"/>
  <c r="B76" i="14"/>
  <c r="G31" i="14"/>
  <c r="C33" i="14"/>
  <c r="L33" i="14"/>
  <c r="I54" i="14"/>
  <c r="G56" i="14"/>
  <c r="C76" i="14"/>
  <c r="M76" i="14"/>
  <c r="I78" i="14"/>
  <c r="D33" i="14"/>
  <c r="I31" i="14"/>
  <c r="E33" i="14"/>
  <c r="C54" i="14"/>
  <c r="I56" i="14"/>
  <c r="E76" i="14"/>
  <c r="C78" i="14"/>
  <c r="M78" i="14"/>
  <c r="H31" i="14"/>
  <c r="D76" i="14"/>
  <c r="B78" i="14"/>
  <c r="O23" i="14"/>
  <c r="B31" i="14"/>
  <c r="F33" i="14"/>
  <c r="B56" i="14"/>
  <c r="D78" i="14"/>
  <c r="O25" i="14"/>
  <c r="M33" i="14"/>
  <c r="G33" i="14"/>
  <c r="E54" i="14"/>
  <c r="G76" i="14"/>
  <c r="E78" i="14"/>
  <c r="M33" i="12"/>
  <c r="M31" i="12"/>
  <c r="J33" i="12"/>
  <c r="J31" i="12"/>
  <c r="M25" i="12"/>
  <c r="M23" i="12"/>
  <c r="M15" i="12"/>
  <c r="B79"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32" i="13"/>
  <c r="D31" i="13"/>
  <c r="D125" i="13"/>
  <c r="D124" i="13"/>
  <c r="D123" i="13"/>
  <c r="D122" i="13"/>
  <c r="D121" i="13"/>
  <c r="B121" i="13" s="1"/>
  <c r="E91" i="13"/>
  <c r="D82" i="13"/>
  <c r="C82" i="13"/>
  <c r="D78" i="13"/>
  <c r="D77" i="13"/>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90" i="13" s="1"/>
  <c r="A91" i="13" s="1"/>
  <c r="A92" i="13" s="1"/>
  <c r="A93" i="13" s="1"/>
  <c r="A95" i="13" s="1"/>
  <c r="A96" i="13" s="1"/>
  <c r="A97" i="13" s="1"/>
  <c r="A98" i="13" s="1"/>
  <c r="A99" i="13" s="1"/>
  <c r="A101" i="13" s="1"/>
  <c r="A102" i="13" s="1"/>
  <c r="A108" i="13" s="1"/>
  <c r="A109" i="13" s="1"/>
  <c r="A110" i="13" s="1"/>
  <c r="A111" i="13" s="1"/>
  <c r="A112" i="13" s="1"/>
  <c r="A113" i="13" s="1"/>
  <c r="A120" i="13" s="1"/>
  <c r="A121" i="13" s="1"/>
  <c r="A122" i="13" s="1"/>
  <c r="A123" i="13" s="1"/>
  <c r="A124" i="13" s="1"/>
  <c r="A125" i="13" s="1"/>
  <c r="A126" i="13" s="1"/>
  <c r="E82" i="3"/>
  <c r="E82" i="7"/>
  <c r="H78" i="12"/>
  <c r="G78" i="12"/>
  <c r="F78" i="12"/>
  <c r="C78" i="12"/>
  <c r="B78" i="12"/>
  <c r="I76" i="12"/>
  <c r="H76" i="12"/>
  <c r="E76" i="12"/>
  <c r="D76" i="12"/>
  <c r="B72" i="12"/>
  <c r="B71" i="12"/>
  <c r="B68" i="12"/>
  <c r="B67" i="12"/>
  <c r="H56" i="12"/>
  <c r="D56" i="12"/>
  <c r="H54" i="12"/>
  <c r="G54" i="12"/>
  <c r="B49" i="12"/>
  <c r="B45" i="12"/>
  <c r="B44" i="12"/>
  <c r="H33" i="12"/>
  <c r="G33" i="12"/>
  <c r="F33" i="12"/>
  <c r="C33" i="12"/>
  <c r="B33" i="12"/>
  <c r="N25" i="12"/>
  <c r="L25" i="12"/>
  <c r="L56" i="12" s="1"/>
  <c r="K25" i="12"/>
  <c r="K56" i="12" s="1"/>
  <c r="J25" i="12"/>
  <c r="I25" i="12"/>
  <c r="I56" i="12" s="1"/>
  <c r="H25" i="12"/>
  <c r="G25" i="12"/>
  <c r="G56" i="12" s="1"/>
  <c r="F25" i="12"/>
  <c r="F56" i="12" s="1"/>
  <c r="E25" i="12"/>
  <c r="E78" i="12" s="1"/>
  <c r="D25" i="12"/>
  <c r="D78" i="12" s="1"/>
  <c r="C25" i="12"/>
  <c r="C56" i="12" s="1"/>
  <c r="B25" i="12"/>
  <c r="B56" i="12" s="1"/>
  <c r="L23" i="12"/>
  <c r="L54" i="12" s="1"/>
  <c r="K23" i="12"/>
  <c r="K54" i="12" s="1"/>
  <c r="J23" i="12"/>
  <c r="I23" i="12"/>
  <c r="I54" i="12" s="1"/>
  <c r="H23" i="12"/>
  <c r="H31" i="12" s="1"/>
  <c r="G23" i="12"/>
  <c r="G76" i="12" s="1"/>
  <c r="F23" i="12"/>
  <c r="F76" i="12" s="1"/>
  <c r="E23" i="12"/>
  <c r="E54" i="12" s="1"/>
  <c r="D23" i="12"/>
  <c r="D54" i="12" s="1"/>
  <c r="C23" i="12"/>
  <c r="C54" i="12" s="1"/>
  <c r="B23" i="12"/>
  <c r="B54" i="12" s="1"/>
  <c r="N15" i="12"/>
  <c r="L15" i="12"/>
  <c r="K15" i="12"/>
  <c r="J15" i="12"/>
  <c r="I15" i="12"/>
  <c r="H15" i="12"/>
  <c r="G15" i="12"/>
  <c r="F15" i="12"/>
  <c r="E15" i="12"/>
  <c r="D15" i="12"/>
  <c r="C15" i="12"/>
  <c r="B15" i="12"/>
  <c r="E110" i="13" l="1"/>
  <c r="E111" i="13"/>
  <c r="E108" i="13"/>
  <c r="E109" i="13"/>
  <c r="E97" i="13"/>
  <c r="E98" i="13"/>
  <c r="B41" i="14"/>
  <c r="C41" i="14" s="1"/>
  <c r="B60" i="14"/>
  <c r="C72" i="14" s="1"/>
  <c r="B40" i="14"/>
  <c r="B82" i="14"/>
  <c r="B81" i="14"/>
  <c r="B64" i="14"/>
  <c r="B63" i="14"/>
  <c r="C86" i="14"/>
  <c r="C85" i="14"/>
  <c r="O24" i="14"/>
  <c r="O26" i="14"/>
  <c r="C82" i="14"/>
  <c r="C81" i="14"/>
  <c r="B37" i="14"/>
  <c r="B36" i="14"/>
  <c r="C44" i="14" s="1"/>
  <c r="B86" i="14"/>
  <c r="B85" i="14"/>
  <c r="B59" i="14"/>
  <c r="C83" i="13"/>
  <c r="K33" i="12"/>
  <c r="K78" i="12"/>
  <c r="L78" i="12"/>
  <c r="B85" i="12" s="1"/>
  <c r="L33" i="12"/>
  <c r="I31" i="12"/>
  <c r="F54" i="12"/>
  <c r="B59" i="12" s="1"/>
  <c r="E31" i="12"/>
  <c r="D31" i="12"/>
  <c r="E56" i="12"/>
  <c r="B63" i="12" s="1"/>
  <c r="B31" i="12"/>
  <c r="K31" i="12"/>
  <c r="B76" i="12"/>
  <c r="K76" i="12"/>
  <c r="N23" i="12"/>
  <c r="C31" i="12"/>
  <c r="L31" i="12"/>
  <c r="I33" i="12"/>
  <c r="C76" i="12"/>
  <c r="L76" i="12"/>
  <c r="I78" i="12"/>
  <c r="C85" i="12"/>
  <c r="F31" i="12"/>
  <c r="D33" i="12"/>
  <c r="G31" i="12"/>
  <c r="E33" i="12"/>
  <c r="B72" i="11"/>
  <c r="B71" i="11"/>
  <c r="B68" i="11"/>
  <c r="B67" i="11"/>
  <c r="B49" i="11"/>
  <c r="B45" i="11"/>
  <c r="B44" i="11"/>
  <c r="I33" i="11"/>
  <c r="H31" i="11"/>
  <c r="D31" i="11"/>
  <c r="C31" i="11"/>
  <c r="L25" i="11"/>
  <c r="L56" i="11" s="1"/>
  <c r="K25" i="11"/>
  <c r="K56" i="11" s="1"/>
  <c r="J25" i="11"/>
  <c r="I25" i="11"/>
  <c r="I56" i="11" s="1"/>
  <c r="H25" i="11"/>
  <c r="H56" i="11" s="1"/>
  <c r="G25" i="11"/>
  <c r="G56" i="11" s="1"/>
  <c r="F25" i="11"/>
  <c r="F56" i="11" s="1"/>
  <c r="E25" i="11"/>
  <c r="E56" i="11" s="1"/>
  <c r="D25" i="11"/>
  <c r="D78" i="11" s="1"/>
  <c r="C25" i="11"/>
  <c r="C78" i="11" s="1"/>
  <c r="B25" i="11"/>
  <c r="B56" i="11" s="1"/>
  <c r="L23" i="11"/>
  <c r="L54" i="11" s="1"/>
  <c r="K23" i="11"/>
  <c r="K54" i="11" s="1"/>
  <c r="J23" i="11"/>
  <c r="I23" i="11"/>
  <c r="I54" i="11" s="1"/>
  <c r="H23" i="11"/>
  <c r="H54" i="11" s="1"/>
  <c r="G23" i="11"/>
  <c r="G54" i="11" s="1"/>
  <c r="F23" i="11"/>
  <c r="F76" i="11" s="1"/>
  <c r="E23" i="11"/>
  <c r="E76" i="11" s="1"/>
  <c r="D23" i="11"/>
  <c r="D54" i="11" s="1"/>
  <c r="C23" i="11"/>
  <c r="C54" i="11" s="1"/>
  <c r="B23" i="11"/>
  <c r="B54" i="11" s="1"/>
  <c r="M15" i="11"/>
  <c r="L15" i="11"/>
  <c r="K15" i="11"/>
  <c r="J15" i="11"/>
  <c r="I15" i="11"/>
  <c r="H15" i="11"/>
  <c r="G15" i="11"/>
  <c r="F15" i="11"/>
  <c r="E15" i="11"/>
  <c r="D15" i="11"/>
  <c r="C15" i="11"/>
  <c r="B15" i="11"/>
  <c r="E81" i="3"/>
  <c r="E81" i="7"/>
  <c r="C68" i="14" l="1"/>
  <c r="C37" i="14"/>
  <c r="C45" i="14"/>
  <c r="D45" i="14" s="1"/>
  <c r="C49" i="14"/>
  <c r="D49" i="14" s="1"/>
  <c r="C94" i="14"/>
  <c r="C90" i="14"/>
  <c r="B94" i="14"/>
  <c r="B90" i="14"/>
  <c r="C84" i="13"/>
  <c r="B86" i="12"/>
  <c r="C86" i="12"/>
  <c r="B60" i="12"/>
  <c r="C68" i="12" s="1"/>
  <c r="B64" i="12"/>
  <c r="B40" i="12"/>
  <c r="C81" i="12"/>
  <c r="C82" i="12"/>
  <c r="B37" i="12"/>
  <c r="B36" i="12"/>
  <c r="C44" i="12" s="1"/>
  <c r="B41" i="12"/>
  <c r="C41" i="12" s="1"/>
  <c r="N24" i="12"/>
  <c r="N26" i="12"/>
  <c r="B82" i="12"/>
  <c r="B81" i="12"/>
  <c r="K33" i="11"/>
  <c r="K78" i="11"/>
  <c r="I78" i="11"/>
  <c r="H76" i="11"/>
  <c r="G33" i="11"/>
  <c r="G78" i="11"/>
  <c r="G76" i="11"/>
  <c r="G31" i="11"/>
  <c r="F78" i="11"/>
  <c r="F33" i="11"/>
  <c r="F54" i="11"/>
  <c r="B60" i="11" s="1"/>
  <c r="E33" i="11"/>
  <c r="E78" i="11"/>
  <c r="E54" i="11"/>
  <c r="D76" i="11"/>
  <c r="M23" i="11"/>
  <c r="M24" i="11" s="1"/>
  <c r="C56" i="11"/>
  <c r="C76" i="11"/>
  <c r="B78" i="11"/>
  <c r="B33" i="11"/>
  <c r="L76" i="11"/>
  <c r="L31" i="11"/>
  <c r="M25" i="11"/>
  <c r="D56" i="11"/>
  <c r="I31" i="11"/>
  <c r="I76" i="11"/>
  <c r="B31" i="11"/>
  <c r="K31" i="11"/>
  <c r="H33" i="11"/>
  <c r="B76" i="11"/>
  <c r="K76" i="11"/>
  <c r="H78" i="11"/>
  <c r="E31" i="11"/>
  <c r="C33" i="11"/>
  <c r="L33" i="11"/>
  <c r="L78" i="11"/>
  <c r="F31" i="11"/>
  <c r="D33" i="11"/>
  <c r="C12" i="10"/>
  <c r="C11" i="10"/>
  <c r="E121" i="7"/>
  <c r="E122" i="7"/>
  <c r="E123" i="7"/>
  <c r="E124" i="7"/>
  <c r="E125" i="7"/>
  <c r="E121" i="3"/>
  <c r="E122" i="3"/>
  <c r="E123" i="3"/>
  <c r="E124" i="3"/>
  <c r="E125" i="3"/>
  <c r="C81" i="7"/>
  <c r="C5" i="10"/>
  <c r="C4" i="10"/>
  <c r="C82" i="9"/>
  <c r="B4" i="8"/>
  <c r="C27" i="6"/>
  <c r="D27" i="6"/>
  <c r="C30" i="6"/>
  <c r="D30" i="6"/>
  <c r="C31" i="6"/>
  <c r="D31" i="6"/>
  <c r="C34" i="6"/>
  <c r="D34" i="6"/>
  <c r="C35" i="6"/>
  <c r="C90" i="9"/>
  <c r="D35" i="6"/>
  <c r="C38" i="6"/>
  <c r="D38" i="6"/>
  <c r="C39" i="6"/>
  <c r="C94" i="9"/>
  <c r="D39" i="6"/>
  <c r="D26" i="6"/>
  <c r="C26" i="6"/>
  <c r="D8" i="6"/>
  <c r="D9" i="6"/>
  <c r="D12" i="6"/>
  <c r="D13" i="6"/>
  <c r="D14" i="6"/>
  <c r="D15" i="6"/>
  <c r="D16" i="6"/>
  <c r="D17" i="6"/>
  <c r="D19" i="6"/>
  <c r="D20" i="6"/>
  <c r="D21" i="6"/>
  <c r="C9" i="6"/>
  <c r="C12" i="6"/>
  <c r="C13" i="6"/>
  <c r="C14" i="6"/>
  <c r="C15" i="6"/>
  <c r="C16" i="6"/>
  <c r="C17" i="6"/>
  <c r="C19" i="6"/>
  <c r="C20" i="6"/>
  <c r="C21" i="6"/>
  <c r="C8" i="6"/>
  <c r="C23" i="9"/>
  <c r="C76" i="9"/>
  <c r="D23" i="9"/>
  <c r="D76" i="9"/>
  <c r="E23" i="9"/>
  <c r="E76" i="9"/>
  <c r="F23" i="9"/>
  <c r="F76" i="9"/>
  <c r="G23" i="9"/>
  <c r="G76" i="9"/>
  <c r="H23" i="9"/>
  <c r="H76" i="9"/>
  <c r="I23" i="9"/>
  <c r="I76" i="9"/>
  <c r="K23" i="9"/>
  <c r="K76" i="9"/>
  <c r="L23" i="9"/>
  <c r="L76" i="9"/>
  <c r="B23" i="9"/>
  <c r="B76" i="9"/>
  <c r="B82" i="9"/>
  <c r="B94" i="9"/>
  <c r="B90" i="9"/>
  <c r="C25" i="9"/>
  <c r="C78" i="9"/>
  <c r="D25" i="9"/>
  <c r="D78" i="9"/>
  <c r="E25" i="9"/>
  <c r="E78" i="9"/>
  <c r="F25" i="9"/>
  <c r="F78" i="9"/>
  <c r="G25" i="9"/>
  <c r="G78" i="9"/>
  <c r="H25" i="9"/>
  <c r="H78" i="9"/>
  <c r="I25" i="9"/>
  <c r="I78" i="9"/>
  <c r="K25" i="9"/>
  <c r="K78" i="9"/>
  <c r="L25" i="9"/>
  <c r="L78" i="9"/>
  <c r="C86" i="9"/>
  <c r="B25" i="9"/>
  <c r="B78" i="9"/>
  <c r="B86" i="9"/>
  <c r="C85" i="9"/>
  <c r="B85" i="9"/>
  <c r="C81" i="9"/>
  <c r="B81" i="9"/>
  <c r="B54" i="9"/>
  <c r="C54" i="9"/>
  <c r="D54" i="9"/>
  <c r="E54" i="9"/>
  <c r="F54" i="9"/>
  <c r="G54" i="9"/>
  <c r="H54" i="9"/>
  <c r="I54" i="9"/>
  <c r="K54" i="9"/>
  <c r="L54" i="9"/>
  <c r="B60" i="9"/>
  <c r="C72" i="9"/>
  <c r="B72" i="9"/>
  <c r="B71" i="9"/>
  <c r="C68" i="9"/>
  <c r="B68" i="9"/>
  <c r="B67" i="9"/>
  <c r="B56" i="9"/>
  <c r="C56" i="9"/>
  <c r="D56" i="9"/>
  <c r="E56" i="9"/>
  <c r="F56" i="9"/>
  <c r="G56" i="9"/>
  <c r="H56" i="9"/>
  <c r="I56" i="9"/>
  <c r="K56" i="9"/>
  <c r="L56" i="9"/>
  <c r="B64" i="9"/>
  <c r="B63" i="9"/>
  <c r="B59" i="9"/>
  <c r="B31" i="9"/>
  <c r="C31" i="9"/>
  <c r="D31" i="9"/>
  <c r="E31" i="9"/>
  <c r="F31" i="9"/>
  <c r="G31" i="9"/>
  <c r="H31" i="9"/>
  <c r="I31" i="9"/>
  <c r="K31" i="9"/>
  <c r="L31" i="9"/>
  <c r="B37" i="9"/>
  <c r="C49" i="9"/>
  <c r="D49" i="9"/>
  <c r="B49" i="9"/>
  <c r="C45" i="9"/>
  <c r="D45" i="9"/>
  <c r="B45" i="9"/>
  <c r="B36" i="9"/>
  <c r="C44" i="9"/>
  <c r="B44" i="9"/>
  <c r="B33" i="9"/>
  <c r="C33" i="9"/>
  <c r="D33" i="9"/>
  <c r="E33" i="9"/>
  <c r="F33" i="9"/>
  <c r="G33" i="9"/>
  <c r="H33" i="9"/>
  <c r="I33" i="9"/>
  <c r="K33" i="9"/>
  <c r="L33" i="9"/>
  <c r="B41" i="9"/>
  <c r="C41" i="9"/>
  <c r="B40" i="9"/>
  <c r="C37" i="9"/>
  <c r="M23" i="9"/>
  <c r="M26" i="9"/>
  <c r="M25" i="9"/>
  <c r="J25" i="9"/>
  <c r="M24" i="9"/>
  <c r="J23" i="9"/>
  <c r="M15" i="9"/>
  <c r="L15" i="9"/>
  <c r="K15" i="9"/>
  <c r="J15" i="9"/>
  <c r="I15" i="9"/>
  <c r="H15" i="9"/>
  <c r="G15" i="9"/>
  <c r="F15" i="9"/>
  <c r="E15" i="9"/>
  <c r="D15" i="9"/>
  <c r="C15" i="9"/>
  <c r="B15" i="9"/>
  <c r="O4" i="8"/>
  <c r="M4" i="8"/>
  <c r="L4" i="8"/>
  <c r="J4" i="8"/>
  <c r="I4" i="8"/>
  <c r="H4" i="8"/>
  <c r="G4" i="8"/>
  <c r="F4" i="8"/>
  <c r="E4" i="8"/>
  <c r="D4" i="8"/>
  <c r="C4" i="8"/>
  <c r="C23" i="8"/>
  <c r="C76" i="8"/>
  <c r="D23" i="8"/>
  <c r="D76" i="8"/>
  <c r="E23" i="8"/>
  <c r="E76" i="8"/>
  <c r="F23" i="8"/>
  <c r="F76" i="8" s="1"/>
  <c r="G23" i="8"/>
  <c r="G76" i="8"/>
  <c r="H23" i="8"/>
  <c r="H76" i="8"/>
  <c r="I23" i="8"/>
  <c r="I76" i="8"/>
  <c r="L23" i="8"/>
  <c r="L76" i="8"/>
  <c r="M23" i="8"/>
  <c r="M76" i="8"/>
  <c r="B23" i="8"/>
  <c r="B76" i="8"/>
  <c r="C25" i="8"/>
  <c r="C78" i="8"/>
  <c r="D25" i="8"/>
  <c r="D78" i="8"/>
  <c r="E25" i="8"/>
  <c r="E78" i="8"/>
  <c r="F25" i="8"/>
  <c r="F78" i="8" s="1"/>
  <c r="G25" i="8"/>
  <c r="G78" i="8"/>
  <c r="H25" i="8"/>
  <c r="H78" i="8"/>
  <c r="I25" i="8"/>
  <c r="I78" i="8"/>
  <c r="L25" i="8"/>
  <c r="L78" i="8"/>
  <c r="M25" i="8"/>
  <c r="M78" i="8"/>
  <c r="B25" i="8"/>
  <c r="B78" i="8"/>
  <c r="B54" i="8"/>
  <c r="C54" i="8"/>
  <c r="D54" i="8"/>
  <c r="E54" i="8"/>
  <c r="G54" i="8"/>
  <c r="H54" i="8"/>
  <c r="I54" i="8"/>
  <c r="L54" i="8"/>
  <c r="M54" i="8"/>
  <c r="B72" i="8"/>
  <c r="B71" i="8"/>
  <c r="B68" i="8"/>
  <c r="B67" i="8"/>
  <c r="B56" i="8"/>
  <c r="C56" i="8"/>
  <c r="D56" i="8"/>
  <c r="E56" i="8"/>
  <c r="G56" i="8"/>
  <c r="H56" i="8"/>
  <c r="I56" i="8"/>
  <c r="L56" i="8"/>
  <c r="M56" i="8"/>
  <c r="B31" i="8"/>
  <c r="C31" i="8"/>
  <c r="D31" i="8"/>
  <c r="E31" i="8"/>
  <c r="F31" i="8"/>
  <c r="B36" i="8" s="1"/>
  <c r="C44" i="8" s="1"/>
  <c r="G31" i="8"/>
  <c r="H31" i="8"/>
  <c r="I31" i="8"/>
  <c r="L31" i="8"/>
  <c r="M31" i="8"/>
  <c r="B49" i="8"/>
  <c r="B45" i="8"/>
  <c r="B44" i="8"/>
  <c r="B33" i="8"/>
  <c r="C33" i="8"/>
  <c r="D33" i="8"/>
  <c r="E33" i="8"/>
  <c r="F33" i="8"/>
  <c r="B41" i="8" s="1"/>
  <c r="C41" i="8" s="1"/>
  <c r="G33" i="8"/>
  <c r="H33" i="8"/>
  <c r="I33" i="8"/>
  <c r="L33" i="8"/>
  <c r="M33" i="8"/>
  <c r="O23" i="8"/>
  <c r="O26" i="8"/>
  <c r="O25" i="8"/>
  <c r="J25" i="8"/>
  <c r="O24" i="8"/>
  <c r="J23" i="8"/>
  <c r="O15" i="8"/>
  <c r="M15" i="8"/>
  <c r="L15" i="8"/>
  <c r="J15" i="8"/>
  <c r="I15" i="8"/>
  <c r="H15" i="8"/>
  <c r="G15" i="8"/>
  <c r="F15" i="8"/>
  <c r="E15" i="8"/>
  <c r="D15" i="8"/>
  <c r="C15" i="8"/>
  <c r="B15" i="8"/>
  <c r="M4" i="5"/>
  <c r="L4" i="5"/>
  <c r="K4" i="5"/>
  <c r="J4" i="5"/>
  <c r="I4" i="5"/>
  <c r="H4" i="5"/>
  <c r="G4" i="5"/>
  <c r="F4" i="5"/>
  <c r="E4" i="5"/>
  <c r="D4" i="5"/>
  <c r="C4" i="5"/>
  <c r="D25" i="6"/>
  <c r="C25" i="6"/>
  <c r="C81" i="3"/>
  <c r="C80" i="7"/>
  <c r="E80" i="7"/>
  <c r="C80" i="3"/>
  <c r="E80" i="3"/>
  <c r="J25" i="5"/>
  <c r="J23" i="5"/>
  <c r="J15" i="5"/>
  <c r="M26" i="5"/>
  <c r="M24" i="5"/>
  <c r="M25" i="5"/>
  <c r="M23" i="5"/>
  <c r="B23" i="5"/>
  <c r="B49" i="5"/>
  <c r="B44" i="5"/>
  <c r="B45" i="5"/>
  <c r="M15" i="5"/>
  <c r="E77" i="7"/>
  <c r="E78" i="7"/>
  <c r="E79" i="7"/>
  <c r="E76" i="7"/>
  <c r="C79"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4" i="7"/>
  <c r="A85" i="7" s="1"/>
  <c r="A86" i="7" s="1"/>
  <c r="A87" i="7" s="1"/>
  <c r="A88" i="7" s="1"/>
  <c r="A89" i="7" s="1"/>
  <c r="A90" i="7" s="1"/>
  <c r="A91" i="7" s="1"/>
  <c r="A92" i="7" s="1"/>
  <c r="A93" i="7" s="1"/>
  <c r="A94"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B39" i="6"/>
  <c r="B33" i="6"/>
  <c r="B34" i="6"/>
  <c r="B35" i="6"/>
  <c r="B37" i="6"/>
  <c r="B38" i="6"/>
  <c r="B29" i="6"/>
  <c r="B30" i="6"/>
  <c r="B31" i="6"/>
  <c r="B8" i="6"/>
  <c r="B9" i="6"/>
  <c r="B11" i="6"/>
  <c r="B12" i="6"/>
  <c r="B13" i="6"/>
  <c r="B15" i="6"/>
  <c r="B16" i="6"/>
  <c r="B17" i="6"/>
  <c r="B19" i="6"/>
  <c r="B20" i="6"/>
  <c r="B21" i="6"/>
  <c r="B23" i="6"/>
  <c r="B25" i="6"/>
  <c r="B26" i="6"/>
  <c r="B27" i="6"/>
  <c r="B7" i="6"/>
  <c r="B4" i="6"/>
  <c r="B72" i="5"/>
  <c r="B71" i="5"/>
  <c r="B68" i="5"/>
  <c r="B67" i="5"/>
  <c r="H78" i="5"/>
  <c r="D76" i="5"/>
  <c r="D54" i="5"/>
  <c r="F54" i="5"/>
  <c r="F56" i="5"/>
  <c r="B54" i="5"/>
  <c r="L15" i="5"/>
  <c r="L23" i="5"/>
  <c r="L25" i="5"/>
  <c r="C25" i="5"/>
  <c r="C33" i="5"/>
  <c r="D25" i="5"/>
  <c r="E25" i="5"/>
  <c r="F25" i="5"/>
  <c r="G25" i="5"/>
  <c r="H25" i="5"/>
  <c r="I25" i="5"/>
  <c r="K25" i="5"/>
  <c r="C23" i="5"/>
  <c r="C31" i="5"/>
  <c r="D23" i="5"/>
  <c r="D31" i="5"/>
  <c r="E23" i="5"/>
  <c r="E54" i="5"/>
  <c r="F23" i="5"/>
  <c r="G23" i="5"/>
  <c r="H23" i="5"/>
  <c r="I23" i="5"/>
  <c r="K23" i="5"/>
  <c r="C15" i="5"/>
  <c r="D15" i="5"/>
  <c r="E15" i="5"/>
  <c r="F15" i="5"/>
  <c r="G15" i="5"/>
  <c r="H15" i="5"/>
  <c r="I15" i="5"/>
  <c r="K15" i="5"/>
  <c r="B25" i="5"/>
  <c r="B31" i="5"/>
  <c r="B15" i="5"/>
  <c r="C79" i="3"/>
  <c r="C78" i="3"/>
  <c r="H54" i="5"/>
  <c r="H31" i="5"/>
  <c r="B78" i="5"/>
  <c r="B33" i="5"/>
  <c r="C56" i="5"/>
  <c r="L56" i="5"/>
  <c r="L33" i="5"/>
  <c r="I54" i="5"/>
  <c r="I31" i="5"/>
  <c r="L76" i="5"/>
  <c r="L31" i="5"/>
  <c r="L78" i="5"/>
  <c r="C54" i="5"/>
  <c r="C78" i="5"/>
  <c r="K54" i="5"/>
  <c r="K31" i="5"/>
  <c r="B37" i="5"/>
  <c r="C37" i="5"/>
  <c r="I78" i="5"/>
  <c r="I33" i="5"/>
  <c r="H56" i="5"/>
  <c r="H33" i="5"/>
  <c r="G54" i="5"/>
  <c r="G31" i="5"/>
  <c r="G78" i="5"/>
  <c r="G33" i="5"/>
  <c r="F76" i="5"/>
  <c r="F31" i="5"/>
  <c r="F78" i="5"/>
  <c r="F33" i="5"/>
  <c r="B56" i="5"/>
  <c r="B76" i="5"/>
  <c r="K56" i="5"/>
  <c r="K33" i="5"/>
  <c r="E76" i="5"/>
  <c r="E31" i="5"/>
  <c r="E78" i="5"/>
  <c r="E33" i="5"/>
  <c r="D78" i="5"/>
  <c r="D33" i="5"/>
  <c r="E56" i="5"/>
  <c r="C76" i="5"/>
  <c r="D56" i="5"/>
  <c r="K76" i="5"/>
  <c r="C82" i="5"/>
  <c r="K78" i="5"/>
  <c r="I76" i="5"/>
  <c r="L54" i="5"/>
  <c r="H76" i="5"/>
  <c r="I56" i="5"/>
  <c r="G76" i="5"/>
  <c r="C81" i="5"/>
  <c r="G56" i="5"/>
  <c r="B63" i="5"/>
  <c r="B64" i="5"/>
  <c r="E76" i="3"/>
  <c r="E77" i="3"/>
  <c r="B30" i="3"/>
  <c r="E30"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s="1"/>
  <c r="A86" i="3" s="1"/>
  <c r="A87" i="3" s="1"/>
  <c r="A88" i="3" s="1"/>
  <c r="A89" i="3" s="1"/>
  <c r="A90" i="3" s="1"/>
  <c r="A91" i="3" s="1"/>
  <c r="A92" i="3" s="1"/>
  <c r="A93" i="3" s="1"/>
  <c r="A94"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J16" i="2"/>
  <c r="L16" i="2"/>
  <c r="N16" i="2"/>
  <c r="J17" i="2"/>
  <c r="L17" i="2"/>
  <c r="N17" i="2"/>
  <c r="J18" i="2"/>
  <c r="L18" i="2"/>
  <c r="N18" i="2"/>
  <c r="L15" i="2"/>
  <c r="N15" i="2"/>
  <c r="J15" i="2"/>
  <c r="D16" i="2"/>
  <c r="F16" i="2"/>
  <c r="H16" i="2"/>
  <c r="D17" i="2"/>
  <c r="F17" i="2"/>
  <c r="H17" i="2"/>
  <c r="D18" i="2"/>
  <c r="F18" i="2"/>
  <c r="H18" i="2"/>
  <c r="F15" i="2"/>
  <c r="H15" i="2"/>
  <c r="D15" i="2"/>
  <c r="C49" i="5"/>
  <c r="D49" i="5"/>
  <c r="C45" i="5"/>
  <c r="D45" i="5"/>
  <c r="B36" i="5"/>
  <c r="C44" i="5"/>
  <c r="C86" i="5"/>
  <c r="C85" i="5"/>
  <c r="B40" i="5"/>
  <c r="B41" i="5"/>
  <c r="C41" i="5"/>
  <c r="B85" i="5"/>
  <c r="B86" i="5"/>
  <c r="B60" i="5"/>
  <c r="B81" i="5"/>
  <c r="C94" i="5"/>
  <c r="C90" i="5"/>
  <c r="D19" i="2"/>
  <c r="D22" i="2"/>
  <c r="B82" i="5"/>
  <c r="B59" i="5"/>
  <c r="J19" i="2"/>
  <c r="E22" i="2"/>
  <c r="B31" i="3"/>
  <c r="C68" i="5"/>
  <c r="C72" i="5"/>
  <c r="B94" i="5"/>
  <c r="B90" i="5"/>
  <c r="E31" i="3"/>
  <c r="B32" i="3"/>
  <c r="E79" i="3"/>
  <c r="E78" i="3"/>
  <c r="B33" i="3"/>
  <c r="E32" i="3"/>
  <c r="B34" i="3"/>
  <c r="E33" i="3"/>
  <c r="B35" i="3"/>
  <c r="E34" i="3"/>
  <c r="B36" i="3"/>
  <c r="E35" i="3"/>
  <c r="B37" i="3"/>
  <c r="E36" i="3"/>
  <c r="B38" i="3"/>
  <c r="E37" i="3"/>
  <c r="B39" i="3"/>
  <c r="E38" i="3"/>
  <c r="B40" i="3"/>
  <c r="E39" i="3"/>
  <c r="B41" i="3"/>
  <c r="E40" i="3"/>
  <c r="B42" i="3"/>
  <c r="E41" i="3"/>
  <c r="B43" i="3"/>
  <c r="E42" i="3"/>
  <c r="B44" i="3"/>
  <c r="E43" i="3"/>
  <c r="B45" i="3"/>
  <c r="E44" i="3"/>
  <c r="B46" i="3"/>
  <c r="E45" i="3"/>
  <c r="B47" i="3"/>
  <c r="E46" i="3"/>
  <c r="B48" i="3"/>
  <c r="E47" i="3"/>
  <c r="B49" i="3"/>
  <c r="E48" i="3"/>
  <c r="B50" i="3"/>
  <c r="E49" i="3"/>
  <c r="B51" i="3"/>
  <c r="E50" i="3"/>
  <c r="B52" i="3"/>
  <c r="E51" i="3"/>
  <c r="B53" i="3"/>
  <c r="E52" i="3"/>
  <c r="B54" i="3"/>
  <c r="E53" i="3"/>
  <c r="B55" i="3"/>
  <c r="E54" i="3"/>
  <c r="B56" i="3"/>
  <c r="E55" i="3"/>
  <c r="B57" i="3"/>
  <c r="E56" i="3"/>
  <c r="B58" i="3"/>
  <c r="E57" i="3"/>
  <c r="B59" i="3"/>
  <c r="E58" i="3"/>
  <c r="B60" i="3"/>
  <c r="E59" i="3"/>
  <c r="B61" i="3"/>
  <c r="E60" i="3"/>
  <c r="B62" i="3"/>
  <c r="E61" i="3"/>
  <c r="B63" i="3"/>
  <c r="E62" i="3"/>
  <c r="B64" i="3"/>
  <c r="E63" i="3"/>
  <c r="B65" i="3"/>
  <c r="E64" i="3"/>
  <c r="B66" i="3"/>
  <c r="E65" i="3"/>
  <c r="B67" i="3"/>
  <c r="E66" i="3"/>
  <c r="E67" i="3"/>
  <c r="B68" i="3"/>
  <c r="E68" i="3"/>
  <c r="B69" i="3"/>
  <c r="B70" i="3"/>
  <c r="E69" i="3"/>
  <c r="B71" i="3"/>
  <c r="E70" i="3"/>
  <c r="B72" i="3"/>
  <c r="E71" i="3"/>
  <c r="B73" i="3"/>
  <c r="E72" i="3"/>
  <c r="B74" i="3"/>
  <c r="E73" i="3"/>
  <c r="E74" i="3"/>
  <c r="E75" i="3"/>
  <c r="F103" i="3" l="1"/>
  <c r="F105" i="3"/>
  <c r="F104" i="3"/>
  <c r="F106" i="3"/>
  <c r="F107" i="3"/>
  <c r="F56" i="8"/>
  <c r="B64" i="8" s="1"/>
  <c r="C86" i="8"/>
  <c r="C85" i="8"/>
  <c r="B86" i="8"/>
  <c r="B85" i="8"/>
  <c r="B40" i="8"/>
  <c r="B63" i="8"/>
  <c r="C82" i="8"/>
  <c r="C90" i="8" s="1"/>
  <c r="B81" i="8"/>
  <c r="C81" i="8"/>
  <c r="B82" i="8"/>
  <c r="B94" i="8" s="1"/>
  <c r="F54" i="8"/>
  <c r="B59" i="8" s="1"/>
  <c r="B60" i="8"/>
  <c r="B37" i="8"/>
  <c r="C94" i="8"/>
  <c r="C85" i="13"/>
  <c r="C72" i="12"/>
  <c r="C45" i="12"/>
  <c r="D45" i="12" s="1"/>
  <c r="C37" i="12"/>
  <c r="C49" i="12"/>
  <c r="D49" i="12" s="1"/>
  <c r="B90" i="12"/>
  <c r="B94" i="12"/>
  <c r="C90" i="12"/>
  <c r="C94" i="12"/>
  <c r="B86" i="11"/>
  <c r="C86" i="11"/>
  <c r="B59" i="11"/>
  <c r="B64" i="11"/>
  <c r="M26" i="11"/>
  <c r="B63" i="11"/>
  <c r="C81" i="11"/>
  <c r="B41" i="11"/>
  <c r="C41" i="11" s="1"/>
  <c r="C82" i="11"/>
  <c r="C90" i="11" s="1"/>
  <c r="B85" i="11"/>
  <c r="B40" i="11"/>
  <c r="C68" i="11"/>
  <c r="C72" i="11"/>
  <c r="B81" i="11"/>
  <c r="B82" i="11"/>
  <c r="C85" i="11"/>
  <c r="B36" i="11"/>
  <c r="C44" i="11" s="1"/>
  <c r="B37" i="11"/>
  <c r="B90" i="8" l="1"/>
  <c r="C49" i="8"/>
  <c r="D49" i="8" s="1"/>
  <c r="C37" i="8"/>
  <c r="C45" i="8"/>
  <c r="D45" i="8" s="1"/>
  <c r="C68" i="8"/>
  <c r="C72" i="8"/>
  <c r="C86" i="13"/>
  <c r="C94" i="11"/>
  <c r="C37" i="11"/>
  <c r="C45" i="11"/>
  <c r="D45" i="11" s="1"/>
  <c r="C49" i="11"/>
  <c r="D49" i="11" s="1"/>
  <c r="B90" i="11"/>
  <c r="B94" i="11"/>
  <c r="C82" i="7"/>
  <c r="C82" i="3"/>
  <c r="C87" i="13" l="1"/>
  <c r="C83" i="3"/>
  <c r="C83" i="7"/>
  <c r="C88" i="13" l="1"/>
  <c r="C84" i="7"/>
  <c r="C84" i="3"/>
  <c r="C85" i="3" l="1"/>
  <c r="C85" i="7"/>
  <c r="C90" i="13" l="1"/>
  <c r="C86" i="7"/>
  <c r="C86" i="3"/>
  <c r="C87" i="3" l="1"/>
  <c r="C87" i="7"/>
  <c r="C88" i="7" l="1"/>
  <c r="C88" i="3"/>
  <c r="C89" i="7" l="1"/>
  <c r="C90" i="3" l="1"/>
  <c r="C90" i="7"/>
  <c r="C95" i="13" l="1"/>
  <c r="C97" i="13" l="1"/>
  <c r="C93" i="3"/>
  <c r="C98" i="13" l="1"/>
  <c r="C103" i="3" l="1"/>
  <c r="C104" i="3"/>
  <c r="C105" i="3" l="1"/>
  <c r="C108" i="3" l="1"/>
  <c r="C109" i="3" l="1"/>
  <c r="G109" i="3" s="1"/>
  <c r="C111" i="3"/>
  <c r="C110" i="3" l="1"/>
  <c r="C112" i="3" l="1"/>
  <c r="C113" i="3" l="1"/>
  <c r="C114" i="3" l="1"/>
  <c r="G109" i="7"/>
  <c r="I110" i="7" l="1"/>
  <c r="H110" i="7"/>
  <c r="H109" i="7"/>
  <c r="I109" i="7"/>
  <c r="B121" i="7" l="1"/>
  <c r="B121" i="3"/>
  <c r="B122" i="3" l="1"/>
  <c r="C121" i="3"/>
  <c r="B122" i="7"/>
  <c r="C121" i="7"/>
  <c r="B123" i="7" l="1"/>
  <c r="C122" i="7"/>
  <c r="B123" i="3"/>
  <c r="C122" i="3"/>
  <c r="B124" i="3" l="1"/>
  <c r="C123" i="3"/>
  <c r="C123" i="7"/>
  <c r="B124" i="7"/>
  <c r="B125" i="7" l="1"/>
  <c r="C125" i="7" s="1"/>
  <c r="C124" i="7"/>
  <c r="C124" i="3"/>
  <c r="B125" i="3"/>
  <c r="C79" i="13"/>
  <c r="B80" i="13" s="1"/>
  <c r="D79" i="13"/>
  <c r="C125" i="3" l="1"/>
  <c r="B126" i="3"/>
  <c r="D81" i="13"/>
  <c r="E87" i="13" s="1"/>
  <c r="C81" i="13"/>
  <c r="D80" i="13"/>
  <c r="E88" i="13"/>
  <c r="E84" i="13"/>
  <c r="C80" i="13"/>
  <c r="C126" i="3" l="1"/>
  <c r="B127" i="3"/>
  <c r="E86" i="13"/>
  <c r="E83" i="13"/>
  <c r="E85" i="13"/>
  <c r="B128" i="3" l="1"/>
  <c r="C127" i="3"/>
  <c r="C128" i="3" l="1"/>
  <c r="B129" i="3"/>
  <c r="B130" i="3" l="1"/>
  <c r="C129" i="3"/>
  <c r="C130" i="3" l="1"/>
  <c r="B131" i="3"/>
  <c r="B132" i="3" l="1"/>
  <c r="C131" i="3"/>
  <c r="C132" i="3" l="1"/>
  <c r="B133" i="3"/>
  <c r="B134" i="3" l="1"/>
  <c r="C133" i="3"/>
  <c r="C134" i="3" l="1"/>
  <c r="B135" i="3"/>
  <c r="B136" i="3" l="1"/>
  <c r="C135" i="3"/>
  <c r="C136" i="3" l="1"/>
  <c r="B137" i="3"/>
  <c r="B138" i="3" l="1"/>
  <c r="C137" i="3"/>
  <c r="C138" i="3" l="1"/>
  <c r="B139" i="3"/>
  <c r="B140" i="3" l="1"/>
  <c r="C139" i="3"/>
  <c r="C140" i="3" l="1"/>
  <c r="B141" i="3"/>
  <c r="B142" i="3" l="1"/>
  <c r="C141" i="3"/>
  <c r="C142" i="3" l="1"/>
  <c r="B143" i="3"/>
  <c r="B144" i="3" l="1"/>
  <c r="C143" i="3"/>
  <c r="C144" i="3" l="1"/>
  <c r="B145" i="3"/>
  <c r="B146" i="3" l="1"/>
  <c r="C145" i="3"/>
  <c r="C146" i="3" l="1"/>
  <c r="B147" i="3"/>
  <c r="B148" i="3" l="1"/>
  <c r="C147" i="3"/>
  <c r="C148" i="3" l="1"/>
  <c r="B149" i="3"/>
  <c r="B150" i="3" l="1"/>
  <c r="C149" i="3"/>
  <c r="C150" i="3" l="1"/>
  <c r="B151" i="3"/>
  <c r="B152" i="3" l="1"/>
  <c r="C151" i="3"/>
  <c r="C152" i="3" l="1"/>
  <c r="B153" i="3"/>
  <c r="B154" i="3" l="1"/>
  <c r="C153" i="3"/>
  <c r="C154" i="3" l="1"/>
  <c r="B155" i="3"/>
  <c r="B156" i="3" l="1"/>
  <c r="C155" i="3"/>
  <c r="C156" i="3" l="1"/>
  <c r="C99" i="13" l="1"/>
  <c r="D99" i="13"/>
  <c r="E99" i="13"/>
  <c r="C108" i="13" l="1"/>
  <c r="C109" i="13" l="1"/>
  <c r="C110" i="13" l="1"/>
  <c r="C111" i="13" l="1"/>
  <c r="C112" i="13" l="1"/>
  <c r="C113" i="13" l="1"/>
  <c r="C114" i="13" l="1"/>
  <c r="C115" i="13"/>
  <c r="C116" i="13" l="1"/>
  <c r="B122" i="13"/>
  <c r="C117" i="13" l="1"/>
  <c r="C122" i="13"/>
  <c r="B123" i="13"/>
  <c r="C118" i="13" l="1"/>
  <c r="B124" i="13"/>
  <c r="C123" i="13"/>
  <c r="C119" i="13" l="1"/>
  <c r="B125" i="13"/>
  <c r="C124" i="13"/>
  <c r="C120" i="13" l="1"/>
  <c r="C121" i="13"/>
  <c r="C125" i="13"/>
  <c r="B126" i="13"/>
  <c r="C126" i="13" s="1"/>
  <c r="C103" i="13" l="1"/>
  <c r="F109" i="13" s="1"/>
  <c r="C104" i="13"/>
  <c r="E103" i="13" l="1"/>
  <c r="E104" i="13"/>
  <c r="E117" i="7" l="1"/>
  <c r="C117" i="7"/>
  <c r="E116" i="7"/>
  <c r="C116" i="7"/>
  <c r="E118" i="7"/>
  <c r="C118" i="7"/>
  <c r="E115" i="7"/>
  <c r="F116" i="7" s="1"/>
  <c r="C115" i="7"/>
  <c r="F115" i="7" l="1"/>
  <c r="F117" i="7"/>
  <c r="F118" i="7"/>
  <c r="C120" i="7"/>
  <c r="C119" i="7"/>
  <c r="E119" i="7"/>
  <c r="F119" i="7" s="1"/>
  <c r="E120" i="7"/>
  <c r="F120" i="7" s="1"/>
</calcChain>
</file>

<file path=xl/sharedStrings.xml><?xml version="1.0" encoding="utf-8"?>
<sst xmlns="http://schemas.openxmlformats.org/spreadsheetml/2006/main" count="2766" uniqueCount="125">
  <si>
    <t>From 2016 Census</t>
  </si>
  <si>
    <t>Age characteristics</t>
  </si>
  <si>
    <t xml:space="preserve">  0 to 14 years</t>
  </si>
  <si>
    <t xml:space="preserve">  15 to 64 years</t>
  </si>
  <si>
    <t xml:space="preserve">    85 years and over</t>
  </si>
  <si>
    <t>Topic</t>
  </si>
  <si>
    <t>Characteristics</t>
  </si>
  <si>
    <t>Note</t>
  </si>
  <si>
    <t>Total</t>
  </si>
  <si>
    <t>Flag_Total</t>
  </si>
  <si>
    <t>Male</t>
  </si>
  <si>
    <t>Flag_Male</t>
  </si>
  <si>
    <t>Female</t>
  </si>
  <si>
    <t>Flag_Female</t>
  </si>
  <si>
    <t xml:space="preserve">    65 to 84 years</t>
  </si>
  <si>
    <t>With population growth 2011 to 2016</t>
  </si>
  <si>
    <t>Kitchner</t>
  </si>
  <si>
    <t>Ontario</t>
  </si>
  <si>
    <t>Kitchener - Cambridge - Waterloo [Census metropolitan area], Ontario</t>
  </si>
  <si>
    <t>Ontario [Province]</t>
  </si>
  <si>
    <t>Estimated population</t>
  </si>
  <si>
    <t>Cases in timeline</t>
  </si>
  <si>
    <t>Cumulative Cases in Ontario</t>
  </si>
  <si>
    <t>New Cases</t>
  </si>
  <si>
    <t>Active Cases</t>
  </si>
  <si>
    <t>% Growth</t>
  </si>
  <si>
    <t>Confirmed Recovery</t>
  </si>
  <si>
    <t>Hospitalized</t>
  </si>
  <si>
    <t>Italy</t>
  </si>
  <si>
    <t>USA</t>
  </si>
  <si>
    <t>UK</t>
  </si>
  <si>
    <t>Confirmed Cases</t>
  </si>
  <si>
    <t>Total Population</t>
  </si>
  <si>
    <t>General</t>
  </si>
  <si>
    <t>Number Hospitalized</t>
  </si>
  <si>
    <t>Number of deaths</t>
  </si>
  <si>
    <t>% of confirmed cases</t>
  </si>
  <si>
    <t>&lt;-october 2019 ontario estimate</t>
  </si>
  <si>
    <t>Statistics as of March 13 (snapshot)</t>
  </si>
  <si>
    <t>Korean</t>
  </si>
  <si>
    <t>Australia</t>
  </si>
  <si>
    <t xml:space="preserve">Confirmed Cases </t>
  </si>
  <si>
    <t>% of total population (# in 100,000)</t>
  </si>
  <si>
    <t>Japan</t>
  </si>
  <si>
    <t>Spain</t>
  </si>
  <si>
    <t>Canada</t>
  </si>
  <si>
    <t>As at March 15</t>
  </si>
  <si>
    <t>Extrapolated Cases and Deaths for Ontario</t>
  </si>
  <si>
    <t>Cases</t>
  </si>
  <si>
    <t>Deaths</t>
  </si>
  <si>
    <t>Low end</t>
  </si>
  <si>
    <t>High end</t>
  </si>
  <si>
    <t>Extrapolated Cases and Deaths for Kitchner Area</t>
  </si>
  <si>
    <t>https://www.canada.ca/en/public-health/services/diseases/2019-novel-coronavirus-infection.html</t>
  </si>
  <si>
    <t>Data from stats Canada</t>
  </si>
  <si>
    <t>% over 65 (total population)</t>
  </si>
  <si>
    <t>China (selected regions)</t>
  </si>
  <si>
    <t>% over 65</t>
  </si>
  <si>
    <t>% hospitalized</t>
  </si>
  <si>
    <t>% cricial care</t>
  </si>
  <si>
    <t>https://www.washingtonpost.com/world/europe/coronavirus-in-italy-fills-hospital-beds-and-turns-doctors-into-patients/2020/03/03/60a723a2-5c9e-11ea-ac50-18701e14e06d_story.html</t>
  </si>
  <si>
    <t>https://jamanetwork.com/journals/jama/fullarticle/2762130</t>
  </si>
  <si>
    <t>ICU</t>
  </si>
  <si>
    <t># Hospitalized</t>
  </si>
  <si>
    <t># in ICU</t>
  </si>
  <si>
    <t>From current #</t>
  </si>
  <si>
    <t>From projected Cases</t>
  </si>
  <si>
    <t>&lt;-growth rate is very sensitive</t>
  </si>
  <si>
    <t># Highest Risk (40+)</t>
  </si>
  <si>
    <t>Projected cumulative cases to April</t>
  </si>
  <si>
    <t>Days since first case</t>
  </si>
  <si>
    <t>First Date</t>
  </si>
  <si>
    <t>Next 100 Days</t>
  </si>
  <si>
    <t>Next 30-40 days</t>
  </si>
  <si>
    <t>Extrapolated Cases and Deaths for Canada</t>
  </si>
  <si>
    <t>Next 2 months</t>
  </si>
  <si>
    <t>Projected Next 2 Months</t>
  </si>
  <si>
    <t>Estimated Current</t>
  </si>
  <si>
    <t>&lt;-extrapolated using 1.6% waterloo region</t>
  </si>
  <si>
    <t>Iran</t>
  </si>
  <si>
    <t>Recovery time</t>
  </si>
  <si>
    <t>2 weeks</t>
  </si>
  <si>
    <t>Severe case</t>
  </si>
  <si>
    <t>Mild case</t>
  </si>
  <si>
    <t>3 to 6 weeks</t>
  </si>
  <si>
    <t>Recovery rate</t>
  </si>
  <si>
    <t>https://ourworldindata.org/coronavirus</t>
  </si>
  <si>
    <t>Last updated</t>
  </si>
  <si>
    <t xml:space="preserve">Last updated </t>
  </si>
  <si>
    <t>https://www.who.int/emergencies/diseases/novel-coronavirus-2019/situation-reports</t>
  </si>
  <si>
    <t>Statistics as of March 16 (snapshot)</t>
  </si>
  <si>
    <t>Updated</t>
  </si>
  <si>
    <t>Notes</t>
  </si>
  <si>
    <t>Simulation over next 1 month, worse case.</t>
  </si>
  <si>
    <t>If Kitchner continues as similar speed as Ontario over next 1 month.</t>
  </si>
  <si>
    <t>Toronto</t>
  </si>
  <si>
    <t>Case</t>
  </si>
  <si>
    <t>hospitalized</t>
  </si>
  <si>
    <t>icu</t>
  </si>
  <si>
    <t>https://www.toronto.ca/home/covid-19/</t>
  </si>
  <si>
    <t>Kitchener</t>
  </si>
  <si>
    <t>&lt;-2 week average</t>
  </si>
  <si>
    <t>Trailing 14 Day Average Daily Growth %</t>
  </si>
  <si>
    <t>Updated March 15</t>
  </si>
  <si>
    <t>Daily % Growth from Yesterday</t>
  </si>
  <si>
    <t>Waterloo Hospitalized and ICU Forecasted 30 Days Out</t>
  </si>
  <si>
    <t>Simulated time trend method, worse case</t>
  </si>
  <si>
    <t>Using comparative method, worse case</t>
  </si>
  <si>
    <t xml:space="preserve"> </t>
  </si>
  <si>
    <t>France</t>
  </si>
  <si>
    <t>As of March 20</t>
  </si>
  <si>
    <t>Newly Hospitalized</t>
  </si>
  <si>
    <t>Newly ICU</t>
  </si>
  <si>
    <t>Cumulative Hospitalized</t>
  </si>
  <si>
    <t>Cumulative ICU</t>
  </si>
  <si>
    <t>Low</t>
  </si>
  <si>
    <t>High</t>
  </si>
  <si>
    <t>500 to 3000</t>
  </si>
  <si>
    <t>300 to 500</t>
  </si>
  <si>
    <t>Data from</t>
  </si>
  <si>
    <t>2 Week Average</t>
  </si>
  <si>
    <t xml:space="preserve">^6.4%=18/280 march 24 </t>
  </si>
  <si>
    <t>https://www.regionofwaterloo.ca/en/health-and-wellness/positive-cases-in-waterloo-region.aspx</t>
  </si>
  <si>
    <t>Number ICU</t>
  </si>
  <si>
    <t>Cumulative Cases in Ontario (confirmed and presumptive)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</si>
</sst>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9"/>
      <color rgb="FF333333"/>
      <name val="Arial"/>
      <family val="2"/>
    </font>
    <font>
      <u/>
      <sz val="11"/>
      <color theme="1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10" fontId="0" fillId="0" borderId="0" xfId="0" applyNumberFormat="1"/>
    <xf numFmtId="0" fontId="0" fillId="0" borderId="0" xfId="0" applyBorder="1"/>
    <xf numFmtId="16" fontId="0" fillId="0" borderId="0" xfId="0" applyNumberFormat="1"/>
    <xf numFmtId="9" fontId="0" fillId="0" borderId="0" xfId="0" applyNumberFormat="1"/>
    <xf numFmtId="16" fontId="0" fillId="2" borderId="0" xfId="0" applyNumberFormat="1" applyFill="1"/>
    <xf numFmtId="9" fontId="0" fillId="2" borderId="0" xfId="0" applyNumberFormat="1" applyFill="1"/>
    <xf numFmtId="4" fontId="0" fillId="0" borderId="0" xfId="0" applyNumberFormat="1"/>
    <xf numFmtId="4" fontId="0" fillId="2" borderId="0" xfId="0" applyNumberFormat="1" applyFill="1"/>
    <xf numFmtId="3" fontId="2" fillId="0" borderId="0" xfId="0" applyNumberFormat="1" applyFont="1" applyAlignment="1">
      <alignment horizontal="center" vertical="center" wrapText="1"/>
    </xf>
    <xf numFmtId="0" fontId="1" fillId="0" borderId="0" xfId="0" applyFont="1"/>
    <xf numFmtId="0" fontId="3" fillId="0" borderId="0" xfId="1"/>
    <xf numFmtId="4" fontId="3" fillId="0" borderId="0" xfId="1" applyNumberFormat="1"/>
    <xf numFmtId="4" fontId="1" fillId="0" borderId="1" xfId="0" applyNumberFormat="1" applyFont="1" applyBorder="1"/>
    <xf numFmtId="4" fontId="0" fillId="0" borderId="2" xfId="0" applyNumberFormat="1" applyBorder="1"/>
    <xf numFmtId="4" fontId="0" fillId="0" borderId="3" xfId="0" applyNumberFormat="1" applyBorder="1"/>
    <xf numFmtId="4" fontId="0" fillId="0" borderId="4" xfId="0" applyNumberFormat="1" applyBorder="1"/>
    <xf numFmtId="4" fontId="0" fillId="0" borderId="0" xfId="0" applyNumberFormat="1" applyBorder="1"/>
    <xf numFmtId="4" fontId="0" fillId="0" borderId="5" xfId="0" applyNumberFormat="1" applyBorder="1"/>
    <xf numFmtId="4" fontId="1" fillId="0" borderId="4" xfId="0" applyNumberFormat="1" applyFont="1" applyBorder="1"/>
    <xf numFmtId="4" fontId="0" fillId="0" borderId="6" xfId="0" applyNumberFormat="1" applyBorder="1"/>
    <xf numFmtId="4" fontId="0" fillId="0" borderId="7" xfId="0" applyNumberFormat="1" applyBorder="1"/>
    <xf numFmtId="4" fontId="0" fillId="0" borderId="8" xfId="0" applyNumberFormat="1" applyBorder="1"/>
    <xf numFmtId="0" fontId="0" fillId="3" borderId="0" xfId="0" applyFill="1"/>
    <xf numFmtId="0" fontId="0" fillId="4" borderId="0" xfId="0" applyFill="1"/>
    <xf numFmtId="4" fontId="0" fillId="4" borderId="0" xfId="0" applyNumberFormat="1" applyFill="1"/>
    <xf numFmtId="15" fontId="0" fillId="0" borderId="0" xfId="0" applyNumberFormat="1"/>
    <xf numFmtId="0" fontId="0" fillId="2" borderId="0" xfId="0" applyFill="1"/>
    <xf numFmtId="16" fontId="0" fillId="0" borderId="0" xfId="0" applyNumberFormat="1" applyFill="1"/>
    <xf numFmtId="4" fontId="0" fillId="0" borderId="0" xfId="0" applyNumberFormat="1" applyFill="1"/>
    <xf numFmtId="0" fontId="0" fillId="5" borderId="0" xfId="0" applyFill="1"/>
    <xf numFmtId="0" fontId="0" fillId="0" borderId="0" xfId="0" applyFill="1"/>
    <xf numFmtId="9" fontId="0" fillId="0" borderId="0" xfId="0" applyNumberFormat="1" applyFill="1"/>
    <xf numFmtId="0" fontId="0" fillId="0" borderId="0" xfId="0" applyAlignment="1">
      <alignment horizontal="center"/>
    </xf>
    <xf numFmtId="0" fontId="0" fillId="0" borderId="9" xfId="0" applyBorder="1" applyAlignment="1">
      <alignment horizontal="center"/>
    </xf>
    <xf numFmtId="0" fontId="1" fillId="0" borderId="9" xfId="0" applyFont="1" applyBorder="1" applyAlignment="1">
      <alignment horizontal="center"/>
    </xf>
    <xf numFmtId="9" fontId="0" fillId="0" borderId="9" xfId="0" applyNumberFormat="1" applyBorder="1" applyAlignment="1">
      <alignment horizontal="center"/>
    </xf>
    <xf numFmtId="3" fontId="0" fillId="0" borderId="9" xfId="0" applyNumberFormat="1" applyBorder="1" applyAlignment="1">
      <alignment horizontal="center"/>
    </xf>
    <xf numFmtId="0" fontId="1" fillId="0" borderId="0" xfId="0" applyFont="1" applyAlignment="1">
      <alignment horizontal="left"/>
    </xf>
    <xf numFmtId="0" fontId="0" fillId="0" borderId="9" xfId="0" applyBorder="1" applyAlignment="1">
      <alignment horizontal="left"/>
    </xf>
    <xf numFmtId="0" fontId="0" fillId="0" borderId="0" xfId="0" applyAlignment="1">
      <alignment horizontal="left"/>
    </xf>
    <xf numFmtId="0" fontId="0" fillId="0" borderId="0" xfId="0" applyBorder="1" applyAlignment="1">
      <alignment horizontal="center"/>
    </xf>
    <xf numFmtId="16" fontId="0" fillId="0" borderId="9" xfId="0" applyNumberFormat="1" applyBorder="1"/>
    <xf numFmtId="4" fontId="0" fillId="0" borderId="9" xfId="0" applyNumberFormat="1" applyBorder="1"/>
    <xf numFmtId="9" fontId="0" fillId="0" borderId="9" xfId="0" applyNumberFormat="1" applyBorder="1"/>
    <xf numFmtId="16" fontId="0" fillId="0" borderId="9" xfId="0" applyNumberFormat="1" applyFill="1" applyBorder="1"/>
    <xf numFmtId="4" fontId="0" fillId="0" borderId="9" xfId="0" applyNumberFormat="1" applyFill="1" applyBorder="1"/>
    <xf numFmtId="9" fontId="0" fillId="0" borderId="9" xfId="0" applyNumberFormat="1" applyFill="1" applyBorder="1"/>
    <xf numFmtId="0" fontId="0" fillId="0" borderId="9" xfId="0" applyBorder="1"/>
    <xf numFmtId="0" fontId="0" fillId="0" borderId="9" xfId="0" applyFill="1" applyBorder="1"/>
    <xf numFmtId="16" fontId="0" fillId="5" borderId="9" xfId="0" applyNumberFormat="1" applyFill="1" applyBorder="1"/>
    <xf numFmtId="4" fontId="0" fillId="5" borderId="9" xfId="0" applyNumberFormat="1" applyFill="1" applyBorder="1"/>
    <xf numFmtId="9" fontId="0" fillId="5" borderId="9" xfId="0" applyNumberFormat="1" applyFill="1" applyBorder="1"/>
    <xf numFmtId="15" fontId="0" fillId="0" borderId="9" xfId="0" applyNumberFormat="1" applyBorder="1"/>
    <xf numFmtId="0" fontId="0" fillId="5" borderId="9" xfId="0" applyFill="1" applyBorder="1"/>
    <xf numFmtId="0" fontId="0" fillId="0" borderId="10" xfId="0" applyBorder="1"/>
    <xf numFmtId="15" fontId="0" fillId="0" borderId="10" xfId="0" applyNumberFormat="1" applyBorder="1"/>
    <xf numFmtId="0" fontId="0" fillId="5" borderId="10" xfId="0" applyFill="1" applyBorder="1"/>
    <xf numFmtId="4" fontId="0" fillId="0" borderId="10" xfId="0" applyNumberFormat="1" applyBorder="1"/>
    <xf numFmtId="9" fontId="0" fillId="0" borderId="10" xfId="0" applyNumberFormat="1" applyBorder="1"/>
    <xf numFmtId="0" fontId="0" fillId="0" borderId="11" xfId="0" applyBorder="1"/>
    <xf numFmtId="15" fontId="0" fillId="0" borderId="11" xfId="0" applyNumberFormat="1" applyBorder="1"/>
    <xf numFmtId="0" fontId="0" fillId="5" borderId="11" xfId="0" applyFill="1" applyBorder="1"/>
    <xf numFmtId="4" fontId="0" fillId="0" borderId="11" xfId="0" applyNumberFormat="1" applyBorder="1"/>
    <xf numFmtId="9" fontId="0" fillId="0" borderId="11" xfId="0" applyNumberFormat="1" applyBorder="1"/>
    <xf numFmtId="0" fontId="0" fillId="6" borderId="9" xfId="0" applyFill="1" applyBorder="1"/>
    <xf numFmtId="4" fontId="0" fillId="6" borderId="9" xfId="0" applyNumberFormat="1" applyFill="1" applyBorder="1"/>
    <xf numFmtId="0" fontId="0" fillId="7" borderId="9" xfId="0" applyFill="1" applyBorder="1"/>
    <xf numFmtId="15" fontId="0" fillId="7" borderId="9" xfId="0" applyNumberFormat="1" applyFill="1" applyBorder="1"/>
    <xf numFmtId="4" fontId="0" fillId="7" borderId="9" xfId="0" applyNumberFormat="1" applyFill="1" applyBorder="1"/>
    <xf numFmtId="9" fontId="0" fillId="7" borderId="9" xfId="0" applyNumberFormat="1" applyFill="1" applyBorder="1"/>
    <xf numFmtId="10" fontId="0" fillId="6" borderId="9" xfId="0" applyNumberFormat="1" applyFill="1" applyBorder="1"/>
    <xf numFmtId="10" fontId="0" fillId="8" borderId="9" xfId="0" applyNumberFormat="1" applyFill="1" applyBorder="1"/>
    <xf numFmtId="0" fontId="0" fillId="8" borderId="9" xfId="0" applyFill="1" applyBorder="1"/>
  </cellXfs>
  <cellStyles count="2">
    <cellStyle name="Hyperlink" xfId="1" builtinId="8"/>
    <cellStyle name="Normal" xfId="0" builtinId="0"/>
  </cellStyles>
  <dxfs count="0"/>
  <tableStyles count="0" defaultTableStyle="TableStyleMedium2" defaultPivotStyle="PivotStyleLight16"/>
  <colors>
    <mruColors>
      <color rgb="FFFF552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Cumulative Confirmed Patients Toronto</a:t>
            </a:r>
            <a:r>
              <a:rPr lang="en-CA" baseline="0"/>
              <a:t>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'1) Time Trends Toronto Region'!$A$28:$A$120</c:f>
              <c:numCache>
                <c:formatCode>d\-mmm</c:formatCode>
                <c:ptCount val="93"/>
                <c:pt idx="0">
                  <c:v>43854</c:v>
                </c:pt>
                <c:pt idx="1">
                  <c:v>43855</c:v>
                </c:pt>
                <c:pt idx="2">
                  <c:v>43856</c:v>
                </c:pt>
                <c:pt idx="3">
                  <c:v>43857</c:v>
                </c:pt>
                <c:pt idx="4">
                  <c:v>43858</c:v>
                </c:pt>
                <c:pt idx="5">
                  <c:v>43859</c:v>
                </c:pt>
                <c:pt idx="6">
                  <c:v>43860</c:v>
                </c:pt>
                <c:pt idx="7">
                  <c:v>43861</c:v>
                </c:pt>
                <c:pt idx="8">
                  <c:v>43862</c:v>
                </c:pt>
                <c:pt idx="9">
                  <c:v>43863</c:v>
                </c:pt>
                <c:pt idx="10">
                  <c:v>43864</c:v>
                </c:pt>
                <c:pt idx="11">
                  <c:v>43865</c:v>
                </c:pt>
                <c:pt idx="12">
                  <c:v>43866</c:v>
                </c:pt>
                <c:pt idx="13">
                  <c:v>43867</c:v>
                </c:pt>
                <c:pt idx="14">
                  <c:v>43868</c:v>
                </c:pt>
                <c:pt idx="15">
                  <c:v>43869</c:v>
                </c:pt>
                <c:pt idx="16">
                  <c:v>43870</c:v>
                </c:pt>
                <c:pt idx="17">
                  <c:v>43871</c:v>
                </c:pt>
                <c:pt idx="18">
                  <c:v>43872</c:v>
                </c:pt>
                <c:pt idx="19">
                  <c:v>43873</c:v>
                </c:pt>
                <c:pt idx="20">
                  <c:v>43874</c:v>
                </c:pt>
                <c:pt idx="21">
                  <c:v>43875</c:v>
                </c:pt>
                <c:pt idx="22">
                  <c:v>43876</c:v>
                </c:pt>
                <c:pt idx="23">
                  <c:v>43877</c:v>
                </c:pt>
                <c:pt idx="24">
                  <c:v>43878</c:v>
                </c:pt>
                <c:pt idx="25">
                  <c:v>43879</c:v>
                </c:pt>
                <c:pt idx="26">
                  <c:v>43880</c:v>
                </c:pt>
                <c:pt idx="27">
                  <c:v>43881</c:v>
                </c:pt>
                <c:pt idx="28">
                  <c:v>43882</c:v>
                </c:pt>
                <c:pt idx="29">
                  <c:v>43883</c:v>
                </c:pt>
                <c:pt idx="30">
                  <c:v>43884</c:v>
                </c:pt>
                <c:pt idx="31">
                  <c:v>43885</c:v>
                </c:pt>
                <c:pt idx="32">
                  <c:v>43886</c:v>
                </c:pt>
                <c:pt idx="33">
                  <c:v>43887</c:v>
                </c:pt>
                <c:pt idx="34">
                  <c:v>43888</c:v>
                </c:pt>
                <c:pt idx="35">
                  <c:v>43889</c:v>
                </c:pt>
                <c:pt idx="36">
                  <c:v>43890</c:v>
                </c:pt>
                <c:pt idx="37">
                  <c:v>43891</c:v>
                </c:pt>
                <c:pt idx="38">
                  <c:v>43892</c:v>
                </c:pt>
                <c:pt idx="39">
                  <c:v>43893</c:v>
                </c:pt>
                <c:pt idx="40">
                  <c:v>43894</c:v>
                </c:pt>
                <c:pt idx="41">
                  <c:v>43895</c:v>
                </c:pt>
                <c:pt idx="42">
                  <c:v>43896</c:v>
                </c:pt>
                <c:pt idx="43">
                  <c:v>43897</c:v>
                </c:pt>
                <c:pt idx="44">
                  <c:v>43898</c:v>
                </c:pt>
                <c:pt idx="45">
                  <c:v>43899</c:v>
                </c:pt>
                <c:pt idx="46">
                  <c:v>43900</c:v>
                </c:pt>
                <c:pt idx="47">
                  <c:v>43901</c:v>
                </c:pt>
                <c:pt idx="48">
                  <c:v>43902</c:v>
                </c:pt>
                <c:pt idx="49">
                  <c:v>43903</c:v>
                </c:pt>
                <c:pt idx="50">
                  <c:v>43904</c:v>
                </c:pt>
                <c:pt idx="51">
                  <c:v>43905</c:v>
                </c:pt>
                <c:pt idx="52">
                  <c:v>43906</c:v>
                </c:pt>
                <c:pt idx="53">
                  <c:v>43907</c:v>
                </c:pt>
                <c:pt idx="54">
                  <c:v>43908</c:v>
                </c:pt>
                <c:pt idx="55">
                  <c:v>43909</c:v>
                </c:pt>
                <c:pt idx="56">
                  <c:v>43910</c:v>
                </c:pt>
                <c:pt idx="57">
                  <c:v>43911</c:v>
                </c:pt>
                <c:pt idx="58">
                  <c:v>43912</c:v>
                </c:pt>
                <c:pt idx="59">
                  <c:v>43913</c:v>
                </c:pt>
                <c:pt idx="60">
                  <c:v>43914</c:v>
                </c:pt>
                <c:pt idx="61">
                  <c:v>43915</c:v>
                </c:pt>
                <c:pt idx="62">
                  <c:v>43916</c:v>
                </c:pt>
                <c:pt idx="63">
                  <c:v>43917</c:v>
                </c:pt>
                <c:pt idx="64">
                  <c:v>43918</c:v>
                </c:pt>
                <c:pt idx="65">
                  <c:v>43919</c:v>
                </c:pt>
                <c:pt idx="66">
                  <c:v>43920</c:v>
                </c:pt>
                <c:pt idx="67">
                  <c:v>43921</c:v>
                </c:pt>
                <c:pt idx="68">
                  <c:v>43922</c:v>
                </c:pt>
                <c:pt idx="69">
                  <c:v>43923</c:v>
                </c:pt>
                <c:pt idx="70">
                  <c:v>43924</c:v>
                </c:pt>
                <c:pt idx="71">
                  <c:v>43925</c:v>
                </c:pt>
                <c:pt idx="72">
                  <c:v>43926</c:v>
                </c:pt>
                <c:pt idx="73">
                  <c:v>43927</c:v>
                </c:pt>
                <c:pt idx="74">
                  <c:v>43928</c:v>
                </c:pt>
                <c:pt idx="75">
                  <c:v>43929</c:v>
                </c:pt>
                <c:pt idx="76">
                  <c:v>43930</c:v>
                </c:pt>
                <c:pt idx="77">
                  <c:v>43931</c:v>
                </c:pt>
                <c:pt idx="78">
                  <c:v>43932</c:v>
                </c:pt>
                <c:pt idx="79">
                  <c:v>43933</c:v>
                </c:pt>
                <c:pt idx="80">
                  <c:v>43934</c:v>
                </c:pt>
                <c:pt idx="81">
                  <c:v>43935</c:v>
                </c:pt>
                <c:pt idx="82">
                  <c:v>43936</c:v>
                </c:pt>
                <c:pt idx="83">
                  <c:v>43937</c:v>
                </c:pt>
                <c:pt idx="84">
                  <c:v>43938</c:v>
                </c:pt>
                <c:pt idx="85">
                  <c:v>43939</c:v>
                </c:pt>
                <c:pt idx="86">
                  <c:v>43940</c:v>
                </c:pt>
                <c:pt idx="87">
                  <c:v>43941</c:v>
                </c:pt>
                <c:pt idx="88">
                  <c:v>43942</c:v>
                </c:pt>
                <c:pt idx="89">
                  <c:v>43943</c:v>
                </c:pt>
                <c:pt idx="90">
                  <c:v>43944</c:v>
                </c:pt>
                <c:pt idx="91">
                  <c:v>43945</c:v>
                </c:pt>
                <c:pt idx="92">
                  <c:v>43946</c:v>
                </c:pt>
              </c:numCache>
            </c:numRef>
          </c:cat>
          <c:val>
            <c:numRef>
              <c:f>'1) Time Trends Toronto Region'!$B$28:$B$120</c:f>
              <c:numCache>
                <c:formatCode>#,##0.00</c:formatCode>
                <c:ptCount val="93"/>
                <c:pt idx="2">
                  <c:v>1</c:v>
                </c:pt>
                <c:pt idx="3">
                  <c:v>2</c:v>
                </c:pt>
                <c:pt idx="4">
                  <c:v>2</c:v>
                </c:pt>
                <c:pt idx="5">
                  <c:v>2</c:v>
                </c:pt>
                <c:pt idx="6">
                  <c:v>2</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4</c:v>
                </c:pt>
                <c:pt idx="32">
                  <c:v>4</c:v>
                </c:pt>
                <c:pt idx="33">
                  <c:v>5</c:v>
                </c:pt>
                <c:pt idx="34">
                  <c:v>5</c:v>
                </c:pt>
                <c:pt idx="35">
                  <c:v>5</c:v>
                </c:pt>
                <c:pt idx="36">
                  <c:v>5</c:v>
                </c:pt>
                <c:pt idx="37">
                  <c:v>5</c:v>
                </c:pt>
                <c:pt idx="38">
                  <c:v>10</c:v>
                </c:pt>
                <c:pt idx="39">
                  <c:v>10</c:v>
                </c:pt>
                <c:pt idx="40">
                  <c:v>10</c:v>
                </c:pt>
                <c:pt idx="41">
                  <c:v>10</c:v>
                </c:pt>
                <c:pt idx="42">
                  <c:v>11</c:v>
                </c:pt>
                <c:pt idx="43">
                  <c:v>11</c:v>
                </c:pt>
                <c:pt idx="44">
                  <c:v>11</c:v>
                </c:pt>
                <c:pt idx="45">
                  <c:v>11</c:v>
                </c:pt>
                <c:pt idx="46">
                  <c:v>11</c:v>
                </c:pt>
                <c:pt idx="47">
                  <c:v>12</c:v>
                </c:pt>
                <c:pt idx="48">
                  <c:v>29</c:v>
                </c:pt>
                <c:pt idx="49">
                  <c:v>29</c:v>
                </c:pt>
                <c:pt idx="50">
                  <c:v>29</c:v>
                </c:pt>
                <c:pt idx="51">
                  <c:v>43</c:v>
                </c:pt>
                <c:pt idx="52">
                  <c:v>57</c:v>
                </c:pt>
                <c:pt idx="53">
                  <c:v>101</c:v>
                </c:pt>
                <c:pt idx="54">
                  <c:v>108</c:v>
                </c:pt>
                <c:pt idx="55">
                  <c:v>128</c:v>
                </c:pt>
                <c:pt idx="56">
                  <c:v>161</c:v>
                </c:pt>
                <c:pt idx="57">
                  <c:v>220</c:v>
                </c:pt>
                <c:pt idx="58">
                  <c:v>220</c:v>
                </c:pt>
                <c:pt idx="59">
                  <c:v>239</c:v>
                </c:pt>
                <c:pt idx="60">
                  <c:v>280</c:v>
                </c:pt>
                <c:pt idx="61">
                  <c:v>319</c:v>
                </c:pt>
                <c:pt idx="62">
                  <c:v>339</c:v>
                </c:pt>
                <c:pt idx="63">
                  <c:v>512</c:v>
                </c:pt>
                <c:pt idx="64">
                  <c:v>512</c:v>
                </c:pt>
                <c:pt idx="65">
                  <c:v>540</c:v>
                </c:pt>
                <c:pt idx="66">
                  <c:v>591</c:v>
                </c:pt>
                <c:pt idx="67">
                  <c:v>793</c:v>
                </c:pt>
                <c:pt idx="68">
                  <c:v>897</c:v>
                </c:pt>
                <c:pt idx="69">
                  <c:v>897</c:v>
                </c:pt>
                <c:pt idx="70">
                  <c:v>986</c:v>
                </c:pt>
                <c:pt idx="71">
                  <c:v>1026</c:v>
                </c:pt>
                <c:pt idx="72">
                  <c:v>1232</c:v>
                </c:pt>
                <c:pt idx="73">
                  <c:v>1301</c:v>
                </c:pt>
                <c:pt idx="74">
                  <c:v>1449</c:v>
                </c:pt>
                <c:pt idx="75">
                  <c:v>1600</c:v>
                </c:pt>
                <c:pt idx="76">
                  <c:v>1769</c:v>
                </c:pt>
                <c:pt idx="77">
                  <c:v>1900</c:v>
                </c:pt>
                <c:pt idx="78">
                  <c:v>2100</c:v>
                </c:pt>
                <c:pt idx="79">
                  <c:v>2225</c:v>
                </c:pt>
                <c:pt idx="80">
                  <c:v>2450</c:v>
                </c:pt>
                <c:pt idx="81">
                  <c:v>2550</c:v>
                </c:pt>
                <c:pt idx="82">
                  <c:v>2700</c:v>
                </c:pt>
                <c:pt idx="83">
                  <c:v>2881</c:v>
                </c:pt>
                <c:pt idx="84">
                  <c:v>3000</c:v>
                </c:pt>
                <c:pt idx="85">
                  <c:v>3250</c:v>
                </c:pt>
                <c:pt idx="86">
                  <c:v>3546</c:v>
                </c:pt>
                <c:pt idx="87">
                  <c:v>3700</c:v>
                </c:pt>
                <c:pt idx="88">
                  <c:v>3900</c:v>
                </c:pt>
                <c:pt idx="89">
                  <c:v>4200</c:v>
                </c:pt>
                <c:pt idx="90">
                  <c:v>4400</c:v>
                </c:pt>
                <c:pt idx="91">
                  <c:v>4500</c:v>
                </c:pt>
                <c:pt idx="92">
                  <c:v>4628</c:v>
                </c:pt>
              </c:numCache>
            </c:numRef>
          </c:val>
          <c:smooth val="0"/>
          <c:extLst>
            <c:ext xmlns:c16="http://schemas.microsoft.com/office/drawing/2014/chart" uri="{C3380CC4-5D6E-409C-BE32-E72D297353CC}">
              <c16:uniqueId val="{00000000-DFBB-4345-8CBE-66D9B965F06F}"/>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Cumulative Confirmed Patients Toronto+</a:t>
            </a:r>
            <a:r>
              <a:rPr lang="en-CA" baseline="0"/>
              <a:t> Projection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858570319340582E-2"/>
          <c:y val="9.236216939910856E-2"/>
          <c:w val="0.92866523813606638"/>
          <c:h val="0.81030306928138207"/>
        </c:manualLayout>
      </c:layout>
      <c:lineChart>
        <c:grouping val="standard"/>
        <c:varyColors val="0"/>
        <c:ser>
          <c:idx val="0"/>
          <c:order val="0"/>
          <c:spPr>
            <a:ln w="28575" cap="rnd">
              <a:solidFill>
                <a:schemeClr val="accent1"/>
              </a:solidFill>
              <a:round/>
            </a:ln>
            <a:effectLst/>
          </c:spPr>
          <c:marker>
            <c:symbol val="none"/>
          </c:marker>
          <c:cat>
            <c:numRef>
              <c:f>'1) Time Trends Toronto Region'!$A$69:$A$126</c:f>
              <c:numCache>
                <c:formatCode>d\-mmm</c:formatCode>
                <c:ptCount val="58"/>
                <c:pt idx="0">
                  <c:v>43895</c:v>
                </c:pt>
                <c:pt idx="1">
                  <c:v>43896</c:v>
                </c:pt>
                <c:pt idx="2">
                  <c:v>43897</c:v>
                </c:pt>
                <c:pt idx="3">
                  <c:v>43898</c:v>
                </c:pt>
                <c:pt idx="4">
                  <c:v>43899</c:v>
                </c:pt>
                <c:pt idx="5">
                  <c:v>43900</c:v>
                </c:pt>
                <c:pt idx="6">
                  <c:v>43901</c:v>
                </c:pt>
                <c:pt idx="7">
                  <c:v>43902</c:v>
                </c:pt>
                <c:pt idx="8">
                  <c:v>43903</c:v>
                </c:pt>
                <c:pt idx="9">
                  <c:v>43904</c:v>
                </c:pt>
                <c:pt idx="10">
                  <c:v>43905</c:v>
                </c:pt>
                <c:pt idx="11">
                  <c:v>43906</c:v>
                </c:pt>
                <c:pt idx="12">
                  <c:v>43907</c:v>
                </c:pt>
                <c:pt idx="13">
                  <c:v>43908</c:v>
                </c:pt>
                <c:pt idx="14">
                  <c:v>43909</c:v>
                </c:pt>
                <c:pt idx="15">
                  <c:v>43910</c:v>
                </c:pt>
                <c:pt idx="16">
                  <c:v>43911</c:v>
                </c:pt>
                <c:pt idx="17">
                  <c:v>43912</c:v>
                </c:pt>
                <c:pt idx="18">
                  <c:v>43913</c:v>
                </c:pt>
                <c:pt idx="19">
                  <c:v>43914</c:v>
                </c:pt>
                <c:pt idx="20">
                  <c:v>43915</c:v>
                </c:pt>
                <c:pt idx="21">
                  <c:v>43916</c:v>
                </c:pt>
                <c:pt idx="22">
                  <c:v>43917</c:v>
                </c:pt>
                <c:pt idx="23">
                  <c:v>43918</c:v>
                </c:pt>
                <c:pt idx="24">
                  <c:v>43919</c:v>
                </c:pt>
                <c:pt idx="25">
                  <c:v>43920</c:v>
                </c:pt>
                <c:pt idx="26">
                  <c:v>43921</c:v>
                </c:pt>
                <c:pt idx="27">
                  <c:v>43922</c:v>
                </c:pt>
                <c:pt idx="28">
                  <c:v>43923</c:v>
                </c:pt>
                <c:pt idx="29">
                  <c:v>43924</c:v>
                </c:pt>
                <c:pt idx="30">
                  <c:v>43925</c:v>
                </c:pt>
                <c:pt idx="31">
                  <c:v>43926</c:v>
                </c:pt>
                <c:pt idx="32">
                  <c:v>43927</c:v>
                </c:pt>
                <c:pt idx="33">
                  <c:v>43928</c:v>
                </c:pt>
                <c:pt idx="34">
                  <c:v>43929</c:v>
                </c:pt>
                <c:pt idx="35">
                  <c:v>43930</c:v>
                </c:pt>
                <c:pt idx="36">
                  <c:v>43931</c:v>
                </c:pt>
                <c:pt idx="37">
                  <c:v>43932</c:v>
                </c:pt>
                <c:pt idx="38">
                  <c:v>43933</c:v>
                </c:pt>
                <c:pt idx="39">
                  <c:v>43934</c:v>
                </c:pt>
                <c:pt idx="40">
                  <c:v>43935</c:v>
                </c:pt>
                <c:pt idx="41">
                  <c:v>43936</c:v>
                </c:pt>
                <c:pt idx="42">
                  <c:v>43937</c:v>
                </c:pt>
                <c:pt idx="43">
                  <c:v>43938</c:v>
                </c:pt>
                <c:pt idx="44">
                  <c:v>43939</c:v>
                </c:pt>
                <c:pt idx="45">
                  <c:v>43940</c:v>
                </c:pt>
                <c:pt idx="46">
                  <c:v>43941</c:v>
                </c:pt>
                <c:pt idx="47">
                  <c:v>43942</c:v>
                </c:pt>
                <c:pt idx="48">
                  <c:v>43943</c:v>
                </c:pt>
                <c:pt idx="49">
                  <c:v>43944</c:v>
                </c:pt>
                <c:pt idx="50">
                  <c:v>43945</c:v>
                </c:pt>
                <c:pt idx="51">
                  <c:v>43946</c:v>
                </c:pt>
                <c:pt idx="52">
                  <c:v>43947</c:v>
                </c:pt>
                <c:pt idx="53">
                  <c:v>43948</c:v>
                </c:pt>
                <c:pt idx="54">
                  <c:v>43949</c:v>
                </c:pt>
                <c:pt idx="55">
                  <c:v>43950</c:v>
                </c:pt>
                <c:pt idx="56">
                  <c:v>43951</c:v>
                </c:pt>
                <c:pt idx="57">
                  <c:v>43952</c:v>
                </c:pt>
              </c:numCache>
            </c:numRef>
          </c:cat>
          <c:val>
            <c:numRef>
              <c:f>'1) Time Trends Toronto Region'!$B$69:$B$126</c:f>
              <c:numCache>
                <c:formatCode>#,##0.00</c:formatCode>
                <c:ptCount val="58"/>
                <c:pt idx="0">
                  <c:v>10</c:v>
                </c:pt>
                <c:pt idx="1">
                  <c:v>11</c:v>
                </c:pt>
                <c:pt idx="2">
                  <c:v>11</c:v>
                </c:pt>
                <c:pt idx="3">
                  <c:v>11</c:v>
                </c:pt>
                <c:pt idx="4">
                  <c:v>11</c:v>
                </c:pt>
                <c:pt idx="5">
                  <c:v>11</c:v>
                </c:pt>
                <c:pt idx="6">
                  <c:v>12</c:v>
                </c:pt>
                <c:pt idx="7">
                  <c:v>29</c:v>
                </c:pt>
                <c:pt idx="8">
                  <c:v>29</c:v>
                </c:pt>
                <c:pt idx="9">
                  <c:v>29</c:v>
                </c:pt>
                <c:pt idx="10">
                  <c:v>43</c:v>
                </c:pt>
                <c:pt idx="11">
                  <c:v>57</c:v>
                </c:pt>
                <c:pt idx="12">
                  <c:v>101</c:v>
                </c:pt>
                <c:pt idx="13">
                  <c:v>108</c:v>
                </c:pt>
                <c:pt idx="14">
                  <c:v>128</c:v>
                </c:pt>
                <c:pt idx="15">
                  <c:v>161</c:v>
                </c:pt>
                <c:pt idx="16">
                  <c:v>220</c:v>
                </c:pt>
                <c:pt idx="17">
                  <c:v>220</c:v>
                </c:pt>
                <c:pt idx="18">
                  <c:v>239</c:v>
                </c:pt>
                <c:pt idx="19">
                  <c:v>280</c:v>
                </c:pt>
                <c:pt idx="20">
                  <c:v>319</c:v>
                </c:pt>
                <c:pt idx="21">
                  <c:v>339</c:v>
                </c:pt>
                <c:pt idx="22">
                  <c:v>512</c:v>
                </c:pt>
                <c:pt idx="23">
                  <c:v>512</c:v>
                </c:pt>
                <c:pt idx="24">
                  <c:v>540</c:v>
                </c:pt>
                <c:pt idx="25">
                  <c:v>591</c:v>
                </c:pt>
                <c:pt idx="26">
                  <c:v>793</c:v>
                </c:pt>
                <c:pt idx="27">
                  <c:v>897</c:v>
                </c:pt>
                <c:pt idx="28">
                  <c:v>897</c:v>
                </c:pt>
                <c:pt idx="29">
                  <c:v>986</c:v>
                </c:pt>
                <c:pt idx="30">
                  <c:v>1026</c:v>
                </c:pt>
                <c:pt idx="31">
                  <c:v>1232</c:v>
                </c:pt>
                <c:pt idx="32">
                  <c:v>1301</c:v>
                </c:pt>
                <c:pt idx="33">
                  <c:v>1449</c:v>
                </c:pt>
                <c:pt idx="34">
                  <c:v>1600</c:v>
                </c:pt>
                <c:pt idx="35">
                  <c:v>1769</c:v>
                </c:pt>
                <c:pt idx="36">
                  <c:v>1900</c:v>
                </c:pt>
                <c:pt idx="37">
                  <c:v>2100</c:v>
                </c:pt>
                <c:pt idx="38">
                  <c:v>2225</c:v>
                </c:pt>
                <c:pt idx="39">
                  <c:v>2450</c:v>
                </c:pt>
                <c:pt idx="40">
                  <c:v>2550</c:v>
                </c:pt>
                <c:pt idx="41">
                  <c:v>2700</c:v>
                </c:pt>
                <c:pt idx="42">
                  <c:v>2881</c:v>
                </c:pt>
                <c:pt idx="43">
                  <c:v>3000</c:v>
                </c:pt>
                <c:pt idx="44">
                  <c:v>3250</c:v>
                </c:pt>
                <c:pt idx="45">
                  <c:v>3546</c:v>
                </c:pt>
                <c:pt idx="46">
                  <c:v>3700</c:v>
                </c:pt>
                <c:pt idx="47">
                  <c:v>3900</c:v>
                </c:pt>
                <c:pt idx="48">
                  <c:v>4200</c:v>
                </c:pt>
                <c:pt idx="49">
                  <c:v>4400</c:v>
                </c:pt>
                <c:pt idx="50">
                  <c:v>4500</c:v>
                </c:pt>
                <c:pt idx="51">
                  <c:v>4628</c:v>
                </c:pt>
                <c:pt idx="52">
                  <c:v>5970.12</c:v>
                </c:pt>
                <c:pt idx="53">
                  <c:v>7761.1559999999999</c:v>
                </c:pt>
                <c:pt idx="54">
                  <c:v>9856.6681200000003</c:v>
                </c:pt>
                <c:pt idx="55">
                  <c:v>10940.901613200002</c:v>
                </c:pt>
                <c:pt idx="56">
                  <c:v>12910.263903576</c:v>
                </c:pt>
                <c:pt idx="57">
                  <c:v>16396.035157541519</c:v>
                </c:pt>
              </c:numCache>
            </c:numRef>
          </c:val>
          <c:smooth val="0"/>
          <c:extLst>
            <c:ext xmlns:c16="http://schemas.microsoft.com/office/drawing/2014/chart" uri="{C3380CC4-5D6E-409C-BE32-E72D297353CC}">
              <c16:uniqueId val="{00000000-9FB1-434B-AC67-711491A88693}"/>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Number</a:t>
            </a:r>
            <a:r>
              <a:rPr lang="en-CA" baseline="0"/>
              <a:t> of new cases Toronto</a:t>
            </a:r>
            <a:endParaRPr lang="en-CA"/>
          </a:p>
        </c:rich>
      </c:tx>
      <c:layout>
        <c:manualLayout>
          <c:xMode val="edge"/>
          <c:yMode val="edge"/>
          <c:x val="0.40391382141173954"/>
          <c:y val="2.16038322136386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spPr>
            <a:ln w="28575" cap="rnd">
              <a:solidFill>
                <a:schemeClr val="accent2"/>
              </a:solidFill>
              <a:round/>
            </a:ln>
            <a:effectLst/>
          </c:spPr>
          <c:marker>
            <c:symbol val="none"/>
          </c:marker>
          <c:cat>
            <c:numRef>
              <c:f>'1) Time Trends Toronto Region'!$A$31:$A$120</c:f>
              <c:numCache>
                <c:formatCode>d\-mmm</c:formatCode>
                <c:ptCount val="90"/>
                <c:pt idx="0">
                  <c:v>43857</c:v>
                </c:pt>
                <c:pt idx="1">
                  <c:v>43858</c:v>
                </c:pt>
                <c:pt idx="2">
                  <c:v>43859</c:v>
                </c:pt>
                <c:pt idx="3">
                  <c:v>43860</c:v>
                </c:pt>
                <c:pt idx="4">
                  <c:v>43861</c:v>
                </c:pt>
                <c:pt idx="5">
                  <c:v>43862</c:v>
                </c:pt>
                <c:pt idx="6">
                  <c:v>43863</c:v>
                </c:pt>
                <c:pt idx="7">
                  <c:v>43864</c:v>
                </c:pt>
                <c:pt idx="8">
                  <c:v>43865</c:v>
                </c:pt>
                <c:pt idx="9">
                  <c:v>43866</c:v>
                </c:pt>
                <c:pt idx="10">
                  <c:v>43867</c:v>
                </c:pt>
                <c:pt idx="11">
                  <c:v>43868</c:v>
                </c:pt>
                <c:pt idx="12">
                  <c:v>43869</c:v>
                </c:pt>
                <c:pt idx="13">
                  <c:v>43870</c:v>
                </c:pt>
                <c:pt idx="14">
                  <c:v>43871</c:v>
                </c:pt>
                <c:pt idx="15">
                  <c:v>43872</c:v>
                </c:pt>
                <c:pt idx="16">
                  <c:v>43873</c:v>
                </c:pt>
                <c:pt idx="17">
                  <c:v>43874</c:v>
                </c:pt>
                <c:pt idx="18">
                  <c:v>43875</c:v>
                </c:pt>
                <c:pt idx="19">
                  <c:v>43876</c:v>
                </c:pt>
                <c:pt idx="20">
                  <c:v>43877</c:v>
                </c:pt>
                <c:pt idx="21">
                  <c:v>43878</c:v>
                </c:pt>
                <c:pt idx="22">
                  <c:v>43879</c:v>
                </c:pt>
                <c:pt idx="23">
                  <c:v>43880</c:v>
                </c:pt>
                <c:pt idx="24">
                  <c:v>43881</c:v>
                </c:pt>
                <c:pt idx="25">
                  <c:v>43882</c:v>
                </c:pt>
                <c:pt idx="26">
                  <c:v>43883</c:v>
                </c:pt>
                <c:pt idx="27">
                  <c:v>43884</c:v>
                </c:pt>
                <c:pt idx="28">
                  <c:v>43885</c:v>
                </c:pt>
                <c:pt idx="29">
                  <c:v>43886</c:v>
                </c:pt>
                <c:pt idx="30">
                  <c:v>43887</c:v>
                </c:pt>
                <c:pt idx="31">
                  <c:v>43888</c:v>
                </c:pt>
                <c:pt idx="32">
                  <c:v>43889</c:v>
                </c:pt>
                <c:pt idx="33">
                  <c:v>43890</c:v>
                </c:pt>
                <c:pt idx="34">
                  <c:v>43891</c:v>
                </c:pt>
                <c:pt idx="35">
                  <c:v>43892</c:v>
                </c:pt>
                <c:pt idx="36">
                  <c:v>43893</c:v>
                </c:pt>
                <c:pt idx="37">
                  <c:v>43894</c:v>
                </c:pt>
                <c:pt idx="38">
                  <c:v>43895</c:v>
                </c:pt>
                <c:pt idx="39">
                  <c:v>43896</c:v>
                </c:pt>
                <c:pt idx="40">
                  <c:v>43897</c:v>
                </c:pt>
                <c:pt idx="41">
                  <c:v>43898</c:v>
                </c:pt>
                <c:pt idx="42">
                  <c:v>43899</c:v>
                </c:pt>
                <c:pt idx="43">
                  <c:v>43900</c:v>
                </c:pt>
                <c:pt idx="44">
                  <c:v>43901</c:v>
                </c:pt>
                <c:pt idx="45">
                  <c:v>43902</c:v>
                </c:pt>
                <c:pt idx="46">
                  <c:v>43903</c:v>
                </c:pt>
                <c:pt idx="47">
                  <c:v>43904</c:v>
                </c:pt>
                <c:pt idx="48">
                  <c:v>43905</c:v>
                </c:pt>
                <c:pt idx="49">
                  <c:v>43906</c:v>
                </c:pt>
                <c:pt idx="50">
                  <c:v>43907</c:v>
                </c:pt>
                <c:pt idx="51">
                  <c:v>43908</c:v>
                </c:pt>
                <c:pt idx="52">
                  <c:v>43909</c:v>
                </c:pt>
                <c:pt idx="53">
                  <c:v>43910</c:v>
                </c:pt>
                <c:pt idx="54">
                  <c:v>43911</c:v>
                </c:pt>
                <c:pt idx="55">
                  <c:v>43912</c:v>
                </c:pt>
                <c:pt idx="56">
                  <c:v>43913</c:v>
                </c:pt>
                <c:pt idx="57">
                  <c:v>43914</c:v>
                </c:pt>
                <c:pt idx="58">
                  <c:v>43915</c:v>
                </c:pt>
                <c:pt idx="59">
                  <c:v>43916</c:v>
                </c:pt>
                <c:pt idx="60">
                  <c:v>43917</c:v>
                </c:pt>
                <c:pt idx="61">
                  <c:v>43918</c:v>
                </c:pt>
                <c:pt idx="62">
                  <c:v>43919</c:v>
                </c:pt>
                <c:pt idx="63">
                  <c:v>43920</c:v>
                </c:pt>
                <c:pt idx="64">
                  <c:v>43921</c:v>
                </c:pt>
                <c:pt idx="65">
                  <c:v>43922</c:v>
                </c:pt>
                <c:pt idx="66">
                  <c:v>43923</c:v>
                </c:pt>
                <c:pt idx="67">
                  <c:v>43924</c:v>
                </c:pt>
                <c:pt idx="68">
                  <c:v>43925</c:v>
                </c:pt>
                <c:pt idx="69">
                  <c:v>43926</c:v>
                </c:pt>
                <c:pt idx="70">
                  <c:v>43927</c:v>
                </c:pt>
                <c:pt idx="71">
                  <c:v>43928</c:v>
                </c:pt>
                <c:pt idx="72">
                  <c:v>43929</c:v>
                </c:pt>
                <c:pt idx="73">
                  <c:v>43930</c:v>
                </c:pt>
                <c:pt idx="74">
                  <c:v>43931</c:v>
                </c:pt>
                <c:pt idx="75">
                  <c:v>43932</c:v>
                </c:pt>
                <c:pt idx="76">
                  <c:v>43933</c:v>
                </c:pt>
                <c:pt idx="77">
                  <c:v>43934</c:v>
                </c:pt>
                <c:pt idx="78">
                  <c:v>43935</c:v>
                </c:pt>
                <c:pt idx="79">
                  <c:v>43936</c:v>
                </c:pt>
                <c:pt idx="80">
                  <c:v>43937</c:v>
                </c:pt>
                <c:pt idx="81">
                  <c:v>43938</c:v>
                </c:pt>
                <c:pt idx="82">
                  <c:v>43939</c:v>
                </c:pt>
                <c:pt idx="83">
                  <c:v>43940</c:v>
                </c:pt>
                <c:pt idx="84">
                  <c:v>43941</c:v>
                </c:pt>
                <c:pt idx="85">
                  <c:v>43942</c:v>
                </c:pt>
                <c:pt idx="86">
                  <c:v>43943</c:v>
                </c:pt>
                <c:pt idx="87">
                  <c:v>43944</c:v>
                </c:pt>
                <c:pt idx="88">
                  <c:v>43945</c:v>
                </c:pt>
                <c:pt idx="89">
                  <c:v>43946</c:v>
                </c:pt>
              </c:numCache>
            </c:numRef>
          </c:cat>
          <c:val>
            <c:numRef>
              <c:f>'1) Time Trends Toronto Region'!$C$31:$C$120</c:f>
              <c:numCache>
                <c:formatCode>#,##0.00</c:formatCode>
                <c:ptCount val="90"/>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14</c:v>
                </c:pt>
                <c:pt idx="48">
                  <c:v>14</c:v>
                </c:pt>
                <c:pt idx="49">
                  <c:v>14</c:v>
                </c:pt>
                <c:pt idx="50">
                  <c:v>44</c:v>
                </c:pt>
                <c:pt idx="51">
                  <c:v>7</c:v>
                </c:pt>
                <c:pt idx="52">
                  <c:v>20</c:v>
                </c:pt>
                <c:pt idx="53">
                  <c:v>33</c:v>
                </c:pt>
                <c:pt idx="54">
                  <c:v>59</c:v>
                </c:pt>
                <c:pt idx="55">
                  <c:v>0</c:v>
                </c:pt>
                <c:pt idx="56">
                  <c:v>19</c:v>
                </c:pt>
                <c:pt idx="57">
                  <c:v>41</c:v>
                </c:pt>
                <c:pt idx="58">
                  <c:v>39</c:v>
                </c:pt>
                <c:pt idx="59">
                  <c:v>20</c:v>
                </c:pt>
                <c:pt idx="60">
                  <c:v>173</c:v>
                </c:pt>
                <c:pt idx="61">
                  <c:v>0</c:v>
                </c:pt>
                <c:pt idx="62">
                  <c:v>28</c:v>
                </c:pt>
                <c:pt idx="63">
                  <c:v>51</c:v>
                </c:pt>
                <c:pt idx="64">
                  <c:v>202</c:v>
                </c:pt>
                <c:pt idx="65">
                  <c:v>104</c:v>
                </c:pt>
                <c:pt idx="66">
                  <c:v>0</c:v>
                </c:pt>
                <c:pt idx="67">
                  <c:v>89</c:v>
                </c:pt>
                <c:pt idx="68">
                  <c:v>40</c:v>
                </c:pt>
                <c:pt idx="69">
                  <c:v>206</c:v>
                </c:pt>
                <c:pt idx="70">
                  <c:v>69</c:v>
                </c:pt>
                <c:pt idx="71">
                  <c:v>148</c:v>
                </c:pt>
                <c:pt idx="72">
                  <c:v>151</c:v>
                </c:pt>
                <c:pt idx="73">
                  <c:v>169</c:v>
                </c:pt>
                <c:pt idx="74">
                  <c:v>131</c:v>
                </c:pt>
                <c:pt idx="75">
                  <c:v>200</c:v>
                </c:pt>
                <c:pt idx="76">
                  <c:v>125</c:v>
                </c:pt>
                <c:pt idx="77">
                  <c:v>225</c:v>
                </c:pt>
                <c:pt idx="78">
                  <c:v>100</c:v>
                </c:pt>
                <c:pt idx="79">
                  <c:v>150</c:v>
                </c:pt>
                <c:pt idx="80">
                  <c:v>181</c:v>
                </c:pt>
                <c:pt idx="81">
                  <c:v>119</c:v>
                </c:pt>
                <c:pt idx="82">
                  <c:v>250</c:v>
                </c:pt>
                <c:pt idx="83">
                  <c:v>296</c:v>
                </c:pt>
                <c:pt idx="84">
                  <c:v>154</c:v>
                </c:pt>
                <c:pt idx="85">
                  <c:v>200</c:v>
                </c:pt>
                <c:pt idx="86">
                  <c:v>300</c:v>
                </c:pt>
                <c:pt idx="87">
                  <c:v>200</c:v>
                </c:pt>
                <c:pt idx="88">
                  <c:v>100</c:v>
                </c:pt>
                <c:pt idx="89">
                  <c:v>128</c:v>
                </c:pt>
              </c:numCache>
            </c:numRef>
          </c:val>
          <c:smooth val="0"/>
          <c:extLst>
            <c:ext xmlns:c16="http://schemas.microsoft.com/office/drawing/2014/chart" uri="{C3380CC4-5D6E-409C-BE32-E72D297353CC}">
              <c16:uniqueId val="{00000000-37F2-45A1-A8E2-491B454382A2}"/>
            </c:ext>
          </c:extLst>
        </c:ser>
        <c:dLbls>
          <c:showLegendKey val="0"/>
          <c:showVal val="0"/>
          <c:showCatName val="0"/>
          <c:showSerName val="0"/>
          <c:showPercent val="0"/>
          <c:showBubbleSize val="0"/>
        </c:dLbls>
        <c:smooth val="0"/>
        <c:axId val="660534840"/>
        <c:axId val="660532920"/>
      </c:lineChart>
      <c:dateAx>
        <c:axId val="660534840"/>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532920"/>
        <c:crosses val="autoZero"/>
        <c:auto val="1"/>
        <c:lblOffset val="100"/>
        <c:baseTimeUnit val="days"/>
      </c:dateAx>
      <c:valAx>
        <c:axId val="6605329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534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Cumulative Confirmed Patients Ontario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'Time Trends Ontario'!$A$29:$A$120</c:f>
              <c:numCache>
                <c:formatCode>d\-mmm</c:formatCode>
                <c:ptCount val="92"/>
                <c:pt idx="0">
                  <c:v>43855</c:v>
                </c:pt>
                <c:pt idx="1">
                  <c:v>43856</c:v>
                </c:pt>
                <c:pt idx="2">
                  <c:v>43857</c:v>
                </c:pt>
                <c:pt idx="3">
                  <c:v>43858</c:v>
                </c:pt>
                <c:pt idx="4">
                  <c:v>43859</c:v>
                </c:pt>
                <c:pt idx="5">
                  <c:v>43860</c:v>
                </c:pt>
                <c:pt idx="6">
                  <c:v>43861</c:v>
                </c:pt>
                <c:pt idx="7">
                  <c:v>43862</c:v>
                </c:pt>
                <c:pt idx="8">
                  <c:v>43863</c:v>
                </c:pt>
                <c:pt idx="9">
                  <c:v>43864</c:v>
                </c:pt>
                <c:pt idx="10">
                  <c:v>43865</c:v>
                </c:pt>
                <c:pt idx="11">
                  <c:v>43866</c:v>
                </c:pt>
                <c:pt idx="12">
                  <c:v>43867</c:v>
                </c:pt>
                <c:pt idx="13">
                  <c:v>43868</c:v>
                </c:pt>
                <c:pt idx="14">
                  <c:v>43869</c:v>
                </c:pt>
                <c:pt idx="15">
                  <c:v>43870</c:v>
                </c:pt>
                <c:pt idx="16">
                  <c:v>43871</c:v>
                </c:pt>
                <c:pt idx="17">
                  <c:v>43872</c:v>
                </c:pt>
                <c:pt idx="18">
                  <c:v>43873</c:v>
                </c:pt>
                <c:pt idx="19">
                  <c:v>43874</c:v>
                </c:pt>
                <c:pt idx="20">
                  <c:v>43875</c:v>
                </c:pt>
                <c:pt idx="21">
                  <c:v>43876</c:v>
                </c:pt>
                <c:pt idx="22">
                  <c:v>43877</c:v>
                </c:pt>
                <c:pt idx="23">
                  <c:v>43878</c:v>
                </c:pt>
                <c:pt idx="24">
                  <c:v>43879</c:v>
                </c:pt>
                <c:pt idx="25">
                  <c:v>43880</c:v>
                </c:pt>
                <c:pt idx="26">
                  <c:v>43881</c:v>
                </c:pt>
                <c:pt idx="27">
                  <c:v>43882</c:v>
                </c:pt>
                <c:pt idx="28">
                  <c:v>43883</c:v>
                </c:pt>
                <c:pt idx="29">
                  <c:v>43884</c:v>
                </c:pt>
                <c:pt idx="30">
                  <c:v>43885</c:v>
                </c:pt>
                <c:pt idx="31">
                  <c:v>43886</c:v>
                </c:pt>
                <c:pt idx="32">
                  <c:v>43887</c:v>
                </c:pt>
                <c:pt idx="33">
                  <c:v>43888</c:v>
                </c:pt>
                <c:pt idx="34">
                  <c:v>43889</c:v>
                </c:pt>
                <c:pt idx="35">
                  <c:v>43890</c:v>
                </c:pt>
                <c:pt idx="36">
                  <c:v>43891</c:v>
                </c:pt>
                <c:pt idx="37">
                  <c:v>43892</c:v>
                </c:pt>
                <c:pt idx="38">
                  <c:v>43893</c:v>
                </c:pt>
                <c:pt idx="39">
                  <c:v>43894</c:v>
                </c:pt>
                <c:pt idx="40">
                  <c:v>43895</c:v>
                </c:pt>
                <c:pt idx="41">
                  <c:v>43896</c:v>
                </c:pt>
                <c:pt idx="42">
                  <c:v>43897</c:v>
                </c:pt>
                <c:pt idx="43">
                  <c:v>43898</c:v>
                </c:pt>
                <c:pt idx="44">
                  <c:v>43899</c:v>
                </c:pt>
                <c:pt idx="45">
                  <c:v>43900</c:v>
                </c:pt>
                <c:pt idx="46">
                  <c:v>43901</c:v>
                </c:pt>
                <c:pt idx="47">
                  <c:v>43902</c:v>
                </c:pt>
                <c:pt idx="48">
                  <c:v>43903</c:v>
                </c:pt>
                <c:pt idx="49">
                  <c:v>43904</c:v>
                </c:pt>
                <c:pt idx="50">
                  <c:v>43905</c:v>
                </c:pt>
                <c:pt idx="51">
                  <c:v>43906</c:v>
                </c:pt>
                <c:pt idx="52">
                  <c:v>43907</c:v>
                </c:pt>
                <c:pt idx="53">
                  <c:v>43908</c:v>
                </c:pt>
                <c:pt idx="54">
                  <c:v>43909</c:v>
                </c:pt>
                <c:pt idx="55">
                  <c:v>43910</c:v>
                </c:pt>
                <c:pt idx="56">
                  <c:v>43911</c:v>
                </c:pt>
                <c:pt idx="57">
                  <c:v>43912</c:v>
                </c:pt>
                <c:pt idx="58">
                  <c:v>43913</c:v>
                </c:pt>
                <c:pt idx="59">
                  <c:v>43914</c:v>
                </c:pt>
                <c:pt idx="60">
                  <c:v>43915</c:v>
                </c:pt>
                <c:pt idx="61">
                  <c:v>43916</c:v>
                </c:pt>
                <c:pt idx="62">
                  <c:v>43917</c:v>
                </c:pt>
                <c:pt idx="63">
                  <c:v>43918</c:v>
                </c:pt>
                <c:pt idx="64">
                  <c:v>43919</c:v>
                </c:pt>
                <c:pt idx="65">
                  <c:v>43920</c:v>
                </c:pt>
                <c:pt idx="66">
                  <c:v>43921</c:v>
                </c:pt>
                <c:pt idx="67">
                  <c:v>43922</c:v>
                </c:pt>
                <c:pt idx="68">
                  <c:v>43923</c:v>
                </c:pt>
                <c:pt idx="69">
                  <c:v>43924</c:v>
                </c:pt>
                <c:pt idx="70">
                  <c:v>43925</c:v>
                </c:pt>
                <c:pt idx="71">
                  <c:v>43926</c:v>
                </c:pt>
                <c:pt idx="72">
                  <c:v>43927</c:v>
                </c:pt>
                <c:pt idx="73">
                  <c:v>43928</c:v>
                </c:pt>
                <c:pt idx="74">
                  <c:v>43929</c:v>
                </c:pt>
                <c:pt idx="75">
                  <c:v>43930</c:v>
                </c:pt>
                <c:pt idx="76">
                  <c:v>43931</c:v>
                </c:pt>
                <c:pt idx="77">
                  <c:v>43932</c:v>
                </c:pt>
                <c:pt idx="78">
                  <c:v>43933</c:v>
                </c:pt>
                <c:pt idx="79">
                  <c:v>43934</c:v>
                </c:pt>
                <c:pt idx="80">
                  <c:v>43935</c:v>
                </c:pt>
                <c:pt idx="81">
                  <c:v>43936</c:v>
                </c:pt>
                <c:pt idx="82">
                  <c:v>43937</c:v>
                </c:pt>
                <c:pt idx="83">
                  <c:v>43938</c:v>
                </c:pt>
                <c:pt idx="84">
                  <c:v>43939</c:v>
                </c:pt>
                <c:pt idx="85">
                  <c:v>43940</c:v>
                </c:pt>
                <c:pt idx="86">
                  <c:v>43941</c:v>
                </c:pt>
                <c:pt idx="87">
                  <c:v>43942</c:v>
                </c:pt>
                <c:pt idx="88">
                  <c:v>43943</c:v>
                </c:pt>
                <c:pt idx="89">
                  <c:v>43944</c:v>
                </c:pt>
                <c:pt idx="90">
                  <c:v>43945</c:v>
                </c:pt>
                <c:pt idx="91">
                  <c:v>43946</c:v>
                </c:pt>
              </c:numCache>
            </c:numRef>
          </c:cat>
          <c:val>
            <c:numRef>
              <c:f>'Time Trends Ontario'!$B$29:$B$120</c:f>
              <c:numCache>
                <c:formatCode>#,##0.00</c:formatCode>
                <c:ptCount val="92"/>
                <c:pt idx="0">
                  <c:v>1</c:v>
                </c:pt>
                <c:pt idx="1">
                  <c:v>1</c:v>
                </c:pt>
                <c:pt idx="2">
                  <c:v>2</c:v>
                </c:pt>
                <c:pt idx="3">
                  <c:v>2</c:v>
                </c:pt>
                <c:pt idx="4">
                  <c:v>2</c:v>
                </c:pt>
                <c:pt idx="5">
                  <c:v>2</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4</c:v>
                </c:pt>
                <c:pt idx="30">
                  <c:v>4</c:v>
                </c:pt>
                <c:pt idx="31">
                  <c:v>4</c:v>
                </c:pt>
                <c:pt idx="32">
                  <c:v>5</c:v>
                </c:pt>
                <c:pt idx="33">
                  <c:v>6</c:v>
                </c:pt>
                <c:pt idx="34">
                  <c:v>7</c:v>
                </c:pt>
                <c:pt idx="35">
                  <c:v>10</c:v>
                </c:pt>
                <c:pt idx="36">
                  <c:v>14</c:v>
                </c:pt>
                <c:pt idx="37">
                  <c:v>17</c:v>
                </c:pt>
                <c:pt idx="38">
                  <c:v>19</c:v>
                </c:pt>
                <c:pt idx="39">
                  <c:v>20</c:v>
                </c:pt>
                <c:pt idx="40">
                  <c:v>22</c:v>
                </c:pt>
                <c:pt idx="41">
                  <c:v>28</c:v>
                </c:pt>
                <c:pt idx="42">
                  <c:v>28</c:v>
                </c:pt>
                <c:pt idx="43">
                  <c:v>29</c:v>
                </c:pt>
                <c:pt idx="44">
                  <c:v>29</c:v>
                </c:pt>
                <c:pt idx="45">
                  <c:v>29</c:v>
                </c:pt>
                <c:pt idx="46">
                  <c:v>39</c:v>
                </c:pt>
                <c:pt idx="47">
                  <c:v>59</c:v>
                </c:pt>
                <c:pt idx="48">
                  <c:v>79</c:v>
                </c:pt>
                <c:pt idx="49">
                  <c:v>103</c:v>
                </c:pt>
                <c:pt idx="50">
                  <c:v>142</c:v>
                </c:pt>
                <c:pt idx="51">
                  <c:v>177</c:v>
                </c:pt>
                <c:pt idx="52">
                  <c:v>189</c:v>
                </c:pt>
                <c:pt idx="53">
                  <c:v>214</c:v>
                </c:pt>
                <c:pt idx="54">
                  <c:v>251</c:v>
                </c:pt>
                <c:pt idx="55">
                  <c:v>311</c:v>
                </c:pt>
                <c:pt idx="56">
                  <c:v>377</c:v>
                </c:pt>
                <c:pt idx="57">
                  <c:v>425</c:v>
                </c:pt>
                <c:pt idx="58">
                  <c:v>503</c:v>
                </c:pt>
                <c:pt idx="59">
                  <c:v>588</c:v>
                </c:pt>
                <c:pt idx="60">
                  <c:v>688</c:v>
                </c:pt>
                <c:pt idx="61">
                  <c:v>858</c:v>
                </c:pt>
                <c:pt idx="62">
                  <c:v>993</c:v>
                </c:pt>
                <c:pt idx="63">
                  <c:v>1144</c:v>
                </c:pt>
                <c:pt idx="64">
                  <c:v>1355</c:v>
                </c:pt>
                <c:pt idx="65">
                  <c:v>1966</c:v>
                </c:pt>
                <c:pt idx="66">
                  <c:v>2366</c:v>
                </c:pt>
                <c:pt idx="67">
                  <c:v>2793</c:v>
                </c:pt>
                <c:pt idx="68">
                  <c:v>3255</c:v>
                </c:pt>
                <c:pt idx="69">
                  <c:v>3630</c:v>
                </c:pt>
                <c:pt idx="70">
                  <c:v>4038</c:v>
                </c:pt>
                <c:pt idx="71">
                  <c:v>4188</c:v>
                </c:pt>
                <c:pt idx="72">
                  <c:v>4347</c:v>
                </c:pt>
                <c:pt idx="73">
                  <c:v>4726</c:v>
                </c:pt>
                <c:pt idx="74">
                  <c:v>5250</c:v>
                </c:pt>
                <c:pt idx="75">
                  <c:v>5759</c:v>
                </c:pt>
                <c:pt idx="76">
                  <c:v>5900</c:v>
                </c:pt>
                <c:pt idx="77">
                  <c:v>6500</c:v>
                </c:pt>
                <c:pt idx="78">
                  <c:v>7049</c:v>
                </c:pt>
                <c:pt idx="79">
                  <c:v>7800</c:v>
                </c:pt>
                <c:pt idx="80">
                  <c:v>8100</c:v>
                </c:pt>
                <c:pt idx="81">
                  <c:v>8900</c:v>
                </c:pt>
                <c:pt idx="82">
                  <c:v>9525</c:v>
                </c:pt>
                <c:pt idx="83">
                  <c:v>10000</c:v>
                </c:pt>
                <c:pt idx="84">
                  <c:v>10750</c:v>
                </c:pt>
                <c:pt idx="85">
                  <c:v>11184</c:v>
                </c:pt>
                <c:pt idx="86">
                  <c:v>11500</c:v>
                </c:pt>
                <c:pt idx="87">
                  <c:v>12000</c:v>
                </c:pt>
                <c:pt idx="88">
                  <c:v>12500</c:v>
                </c:pt>
                <c:pt idx="89">
                  <c:v>13000</c:v>
                </c:pt>
                <c:pt idx="90">
                  <c:v>13500</c:v>
                </c:pt>
                <c:pt idx="91">
                  <c:v>13995</c:v>
                </c:pt>
              </c:numCache>
            </c:numRef>
          </c:val>
          <c:smooth val="0"/>
          <c:extLst>
            <c:ext xmlns:c16="http://schemas.microsoft.com/office/drawing/2014/chart" uri="{C3380CC4-5D6E-409C-BE32-E72D297353CC}">
              <c16:uniqueId val="{00000000-788D-4A66-9FC1-9B5521A92A95}"/>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Cumulative Confirmed Patients Ontario +</a:t>
            </a:r>
            <a:r>
              <a:rPr lang="en-CA" baseline="0"/>
              <a:t>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'Time Trends Ontario'!$A$29:$A$125</c:f>
              <c:numCache>
                <c:formatCode>d\-mmm</c:formatCode>
                <c:ptCount val="97"/>
                <c:pt idx="0">
                  <c:v>43855</c:v>
                </c:pt>
                <c:pt idx="1">
                  <c:v>43856</c:v>
                </c:pt>
                <c:pt idx="2">
                  <c:v>43857</c:v>
                </c:pt>
                <c:pt idx="3">
                  <c:v>43858</c:v>
                </c:pt>
                <c:pt idx="4">
                  <c:v>43859</c:v>
                </c:pt>
                <c:pt idx="5">
                  <c:v>43860</c:v>
                </c:pt>
                <c:pt idx="6">
                  <c:v>43861</c:v>
                </c:pt>
                <c:pt idx="7">
                  <c:v>43862</c:v>
                </c:pt>
                <c:pt idx="8">
                  <c:v>43863</c:v>
                </c:pt>
                <c:pt idx="9">
                  <c:v>43864</c:v>
                </c:pt>
                <c:pt idx="10">
                  <c:v>43865</c:v>
                </c:pt>
                <c:pt idx="11">
                  <c:v>43866</c:v>
                </c:pt>
                <c:pt idx="12">
                  <c:v>43867</c:v>
                </c:pt>
                <c:pt idx="13">
                  <c:v>43868</c:v>
                </c:pt>
                <c:pt idx="14">
                  <c:v>43869</c:v>
                </c:pt>
                <c:pt idx="15">
                  <c:v>43870</c:v>
                </c:pt>
                <c:pt idx="16">
                  <c:v>43871</c:v>
                </c:pt>
                <c:pt idx="17">
                  <c:v>43872</c:v>
                </c:pt>
                <c:pt idx="18">
                  <c:v>43873</c:v>
                </c:pt>
                <c:pt idx="19">
                  <c:v>43874</c:v>
                </c:pt>
                <c:pt idx="20">
                  <c:v>43875</c:v>
                </c:pt>
                <c:pt idx="21">
                  <c:v>43876</c:v>
                </c:pt>
                <c:pt idx="22">
                  <c:v>43877</c:v>
                </c:pt>
                <c:pt idx="23">
                  <c:v>43878</c:v>
                </c:pt>
                <c:pt idx="24">
                  <c:v>43879</c:v>
                </c:pt>
                <c:pt idx="25">
                  <c:v>43880</c:v>
                </c:pt>
                <c:pt idx="26">
                  <c:v>43881</c:v>
                </c:pt>
                <c:pt idx="27">
                  <c:v>43882</c:v>
                </c:pt>
                <c:pt idx="28">
                  <c:v>43883</c:v>
                </c:pt>
                <c:pt idx="29">
                  <c:v>43884</c:v>
                </c:pt>
                <c:pt idx="30">
                  <c:v>43885</c:v>
                </c:pt>
                <c:pt idx="31">
                  <c:v>43886</c:v>
                </c:pt>
                <c:pt idx="32">
                  <c:v>43887</c:v>
                </c:pt>
                <c:pt idx="33">
                  <c:v>43888</c:v>
                </c:pt>
                <c:pt idx="34">
                  <c:v>43889</c:v>
                </c:pt>
                <c:pt idx="35">
                  <c:v>43890</c:v>
                </c:pt>
                <c:pt idx="36">
                  <c:v>43891</c:v>
                </c:pt>
                <c:pt idx="37">
                  <c:v>43892</c:v>
                </c:pt>
                <c:pt idx="38">
                  <c:v>43893</c:v>
                </c:pt>
                <c:pt idx="39">
                  <c:v>43894</c:v>
                </c:pt>
                <c:pt idx="40">
                  <c:v>43895</c:v>
                </c:pt>
                <c:pt idx="41">
                  <c:v>43896</c:v>
                </c:pt>
                <c:pt idx="42">
                  <c:v>43897</c:v>
                </c:pt>
                <c:pt idx="43">
                  <c:v>43898</c:v>
                </c:pt>
                <c:pt idx="44">
                  <c:v>43899</c:v>
                </c:pt>
                <c:pt idx="45">
                  <c:v>43900</c:v>
                </c:pt>
                <c:pt idx="46">
                  <c:v>43901</c:v>
                </c:pt>
                <c:pt idx="47">
                  <c:v>43902</c:v>
                </c:pt>
                <c:pt idx="48">
                  <c:v>43903</c:v>
                </c:pt>
                <c:pt idx="49">
                  <c:v>43904</c:v>
                </c:pt>
                <c:pt idx="50">
                  <c:v>43905</c:v>
                </c:pt>
                <c:pt idx="51">
                  <c:v>43906</c:v>
                </c:pt>
                <c:pt idx="52">
                  <c:v>43907</c:v>
                </c:pt>
                <c:pt idx="53">
                  <c:v>43908</c:v>
                </c:pt>
                <c:pt idx="54">
                  <c:v>43909</c:v>
                </c:pt>
                <c:pt idx="55">
                  <c:v>43910</c:v>
                </c:pt>
                <c:pt idx="56">
                  <c:v>43911</c:v>
                </c:pt>
                <c:pt idx="57">
                  <c:v>43912</c:v>
                </c:pt>
                <c:pt idx="58">
                  <c:v>43913</c:v>
                </c:pt>
                <c:pt idx="59">
                  <c:v>43914</c:v>
                </c:pt>
                <c:pt idx="60">
                  <c:v>43915</c:v>
                </c:pt>
                <c:pt idx="61">
                  <c:v>43916</c:v>
                </c:pt>
                <c:pt idx="62">
                  <c:v>43917</c:v>
                </c:pt>
                <c:pt idx="63">
                  <c:v>43918</c:v>
                </c:pt>
                <c:pt idx="64">
                  <c:v>43919</c:v>
                </c:pt>
                <c:pt idx="65">
                  <c:v>43920</c:v>
                </c:pt>
                <c:pt idx="66">
                  <c:v>43921</c:v>
                </c:pt>
                <c:pt idx="67">
                  <c:v>43922</c:v>
                </c:pt>
                <c:pt idx="68">
                  <c:v>43923</c:v>
                </c:pt>
                <c:pt idx="69">
                  <c:v>43924</c:v>
                </c:pt>
                <c:pt idx="70">
                  <c:v>43925</c:v>
                </c:pt>
                <c:pt idx="71">
                  <c:v>43926</c:v>
                </c:pt>
                <c:pt idx="72">
                  <c:v>43927</c:v>
                </c:pt>
                <c:pt idx="73">
                  <c:v>43928</c:v>
                </c:pt>
                <c:pt idx="74">
                  <c:v>43929</c:v>
                </c:pt>
                <c:pt idx="75">
                  <c:v>43930</c:v>
                </c:pt>
                <c:pt idx="76">
                  <c:v>43931</c:v>
                </c:pt>
                <c:pt idx="77">
                  <c:v>43932</c:v>
                </c:pt>
                <c:pt idx="78">
                  <c:v>43933</c:v>
                </c:pt>
                <c:pt idx="79">
                  <c:v>43934</c:v>
                </c:pt>
                <c:pt idx="80">
                  <c:v>43935</c:v>
                </c:pt>
                <c:pt idx="81">
                  <c:v>43936</c:v>
                </c:pt>
                <c:pt idx="82">
                  <c:v>43937</c:v>
                </c:pt>
                <c:pt idx="83">
                  <c:v>43938</c:v>
                </c:pt>
                <c:pt idx="84">
                  <c:v>43939</c:v>
                </c:pt>
                <c:pt idx="85">
                  <c:v>43940</c:v>
                </c:pt>
                <c:pt idx="86">
                  <c:v>43941</c:v>
                </c:pt>
                <c:pt idx="87">
                  <c:v>43942</c:v>
                </c:pt>
                <c:pt idx="88">
                  <c:v>43943</c:v>
                </c:pt>
                <c:pt idx="89">
                  <c:v>43944</c:v>
                </c:pt>
                <c:pt idx="90">
                  <c:v>43945</c:v>
                </c:pt>
                <c:pt idx="91">
                  <c:v>43946</c:v>
                </c:pt>
                <c:pt idx="92">
                  <c:v>43947</c:v>
                </c:pt>
                <c:pt idx="93">
                  <c:v>43948</c:v>
                </c:pt>
                <c:pt idx="94">
                  <c:v>43949</c:v>
                </c:pt>
                <c:pt idx="95">
                  <c:v>43950</c:v>
                </c:pt>
                <c:pt idx="96">
                  <c:v>43951</c:v>
                </c:pt>
              </c:numCache>
            </c:numRef>
          </c:cat>
          <c:val>
            <c:numRef>
              <c:f>'Time Trends Ontario'!$B$29:$B$125</c:f>
              <c:numCache>
                <c:formatCode>#,##0.00</c:formatCode>
                <c:ptCount val="97"/>
                <c:pt idx="0">
                  <c:v>1</c:v>
                </c:pt>
                <c:pt idx="1">
                  <c:v>1</c:v>
                </c:pt>
                <c:pt idx="2">
                  <c:v>2</c:v>
                </c:pt>
                <c:pt idx="3">
                  <c:v>2</c:v>
                </c:pt>
                <c:pt idx="4">
                  <c:v>2</c:v>
                </c:pt>
                <c:pt idx="5">
                  <c:v>2</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4</c:v>
                </c:pt>
                <c:pt idx="30">
                  <c:v>4</c:v>
                </c:pt>
                <c:pt idx="31">
                  <c:v>4</c:v>
                </c:pt>
                <c:pt idx="32">
                  <c:v>5</c:v>
                </c:pt>
                <c:pt idx="33">
                  <c:v>6</c:v>
                </c:pt>
                <c:pt idx="34">
                  <c:v>7</c:v>
                </c:pt>
                <c:pt idx="35">
                  <c:v>10</c:v>
                </c:pt>
                <c:pt idx="36">
                  <c:v>14</c:v>
                </c:pt>
                <c:pt idx="37">
                  <c:v>17</c:v>
                </c:pt>
                <c:pt idx="38">
                  <c:v>19</c:v>
                </c:pt>
                <c:pt idx="39">
                  <c:v>20</c:v>
                </c:pt>
                <c:pt idx="40">
                  <c:v>22</c:v>
                </c:pt>
                <c:pt idx="41">
                  <c:v>28</c:v>
                </c:pt>
                <c:pt idx="42">
                  <c:v>28</c:v>
                </c:pt>
                <c:pt idx="43">
                  <c:v>29</c:v>
                </c:pt>
                <c:pt idx="44">
                  <c:v>29</c:v>
                </c:pt>
                <c:pt idx="45">
                  <c:v>29</c:v>
                </c:pt>
                <c:pt idx="46">
                  <c:v>39</c:v>
                </c:pt>
                <c:pt idx="47">
                  <c:v>59</c:v>
                </c:pt>
                <c:pt idx="48">
                  <c:v>79</c:v>
                </c:pt>
                <c:pt idx="49">
                  <c:v>103</c:v>
                </c:pt>
                <c:pt idx="50">
                  <c:v>142</c:v>
                </c:pt>
                <c:pt idx="51">
                  <c:v>177</c:v>
                </c:pt>
                <c:pt idx="52">
                  <c:v>189</c:v>
                </c:pt>
                <c:pt idx="53">
                  <c:v>214</c:v>
                </c:pt>
                <c:pt idx="54">
                  <c:v>251</c:v>
                </c:pt>
                <c:pt idx="55">
                  <c:v>311</c:v>
                </c:pt>
                <c:pt idx="56">
                  <c:v>377</c:v>
                </c:pt>
                <c:pt idx="57">
                  <c:v>425</c:v>
                </c:pt>
                <c:pt idx="58">
                  <c:v>503</c:v>
                </c:pt>
                <c:pt idx="59">
                  <c:v>588</c:v>
                </c:pt>
                <c:pt idx="60">
                  <c:v>688</c:v>
                </c:pt>
                <c:pt idx="61">
                  <c:v>858</c:v>
                </c:pt>
                <c:pt idx="62">
                  <c:v>993</c:v>
                </c:pt>
                <c:pt idx="63">
                  <c:v>1144</c:v>
                </c:pt>
                <c:pt idx="64">
                  <c:v>1355</c:v>
                </c:pt>
                <c:pt idx="65">
                  <c:v>1966</c:v>
                </c:pt>
                <c:pt idx="66">
                  <c:v>2366</c:v>
                </c:pt>
                <c:pt idx="67">
                  <c:v>2793</c:v>
                </c:pt>
                <c:pt idx="68">
                  <c:v>3255</c:v>
                </c:pt>
                <c:pt idx="69">
                  <c:v>3630</c:v>
                </c:pt>
                <c:pt idx="70">
                  <c:v>4038</c:v>
                </c:pt>
                <c:pt idx="71">
                  <c:v>4188</c:v>
                </c:pt>
                <c:pt idx="72">
                  <c:v>4347</c:v>
                </c:pt>
                <c:pt idx="73">
                  <c:v>4726</c:v>
                </c:pt>
                <c:pt idx="74">
                  <c:v>5250</c:v>
                </c:pt>
                <c:pt idx="75">
                  <c:v>5759</c:v>
                </c:pt>
                <c:pt idx="76">
                  <c:v>5900</c:v>
                </c:pt>
                <c:pt idx="77">
                  <c:v>6500</c:v>
                </c:pt>
                <c:pt idx="78">
                  <c:v>7049</c:v>
                </c:pt>
                <c:pt idx="79">
                  <c:v>7800</c:v>
                </c:pt>
                <c:pt idx="80">
                  <c:v>8100</c:v>
                </c:pt>
                <c:pt idx="81">
                  <c:v>8900</c:v>
                </c:pt>
                <c:pt idx="82">
                  <c:v>9525</c:v>
                </c:pt>
                <c:pt idx="83">
                  <c:v>10000</c:v>
                </c:pt>
                <c:pt idx="84">
                  <c:v>10750</c:v>
                </c:pt>
                <c:pt idx="85">
                  <c:v>11184</c:v>
                </c:pt>
                <c:pt idx="86">
                  <c:v>11500</c:v>
                </c:pt>
                <c:pt idx="87">
                  <c:v>12000</c:v>
                </c:pt>
                <c:pt idx="88">
                  <c:v>12500</c:v>
                </c:pt>
                <c:pt idx="89">
                  <c:v>13000</c:v>
                </c:pt>
                <c:pt idx="90">
                  <c:v>13500</c:v>
                </c:pt>
                <c:pt idx="91">
                  <c:v>13995</c:v>
                </c:pt>
                <c:pt idx="92">
                  <c:v>17493.75</c:v>
                </c:pt>
                <c:pt idx="93">
                  <c:v>20292.75</c:v>
                </c:pt>
                <c:pt idx="94">
                  <c:v>23539.59</c:v>
                </c:pt>
                <c:pt idx="95">
                  <c:v>26128.944900000002</c:v>
                </c:pt>
                <c:pt idx="96">
                  <c:v>32138.602227000003</c:v>
                </c:pt>
              </c:numCache>
            </c:numRef>
          </c:val>
          <c:smooth val="0"/>
          <c:extLst>
            <c:ext xmlns:c16="http://schemas.microsoft.com/office/drawing/2014/chart" uri="{C3380CC4-5D6E-409C-BE32-E72D297353CC}">
              <c16:uniqueId val="{00000000-3272-494B-84A6-5EBFFA0FEAD0}"/>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 New Cases in Ontario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'Time Trends Ontario'!$A$29:$A$120</c:f>
              <c:numCache>
                <c:formatCode>d\-mmm</c:formatCode>
                <c:ptCount val="92"/>
                <c:pt idx="0">
                  <c:v>43855</c:v>
                </c:pt>
                <c:pt idx="1">
                  <c:v>43856</c:v>
                </c:pt>
                <c:pt idx="2">
                  <c:v>43857</c:v>
                </c:pt>
                <c:pt idx="3">
                  <c:v>43858</c:v>
                </c:pt>
                <c:pt idx="4">
                  <c:v>43859</c:v>
                </c:pt>
                <c:pt idx="5">
                  <c:v>43860</c:v>
                </c:pt>
                <c:pt idx="6">
                  <c:v>43861</c:v>
                </c:pt>
                <c:pt idx="7">
                  <c:v>43862</c:v>
                </c:pt>
                <c:pt idx="8">
                  <c:v>43863</c:v>
                </c:pt>
                <c:pt idx="9">
                  <c:v>43864</c:v>
                </c:pt>
                <c:pt idx="10">
                  <c:v>43865</c:v>
                </c:pt>
                <c:pt idx="11">
                  <c:v>43866</c:v>
                </c:pt>
                <c:pt idx="12">
                  <c:v>43867</c:v>
                </c:pt>
                <c:pt idx="13">
                  <c:v>43868</c:v>
                </c:pt>
                <c:pt idx="14">
                  <c:v>43869</c:v>
                </c:pt>
                <c:pt idx="15">
                  <c:v>43870</c:v>
                </c:pt>
                <c:pt idx="16">
                  <c:v>43871</c:v>
                </c:pt>
                <c:pt idx="17">
                  <c:v>43872</c:v>
                </c:pt>
                <c:pt idx="18">
                  <c:v>43873</c:v>
                </c:pt>
                <c:pt idx="19">
                  <c:v>43874</c:v>
                </c:pt>
                <c:pt idx="20">
                  <c:v>43875</c:v>
                </c:pt>
                <c:pt idx="21">
                  <c:v>43876</c:v>
                </c:pt>
                <c:pt idx="22">
                  <c:v>43877</c:v>
                </c:pt>
                <c:pt idx="23">
                  <c:v>43878</c:v>
                </c:pt>
                <c:pt idx="24">
                  <c:v>43879</c:v>
                </c:pt>
                <c:pt idx="25">
                  <c:v>43880</c:v>
                </c:pt>
                <c:pt idx="26">
                  <c:v>43881</c:v>
                </c:pt>
                <c:pt idx="27">
                  <c:v>43882</c:v>
                </c:pt>
                <c:pt idx="28">
                  <c:v>43883</c:v>
                </c:pt>
                <c:pt idx="29">
                  <c:v>43884</c:v>
                </c:pt>
                <c:pt idx="30">
                  <c:v>43885</c:v>
                </c:pt>
                <c:pt idx="31">
                  <c:v>43886</c:v>
                </c:pt>
                <c:pt idx="32">
                  <c:v>43887</c:v>
                </c:pt>
                <c:pt idx="33">
                  <c:v>43888</c:v>
                </c:pt>
                <c:pt idx="34">
                  <c:v>43889</c:v>
                </c:pt>
                <c:pt idx="35">
                  <c:v>43890</c:v>
                </c:pt>
                <c:pt idx="36">
                  <c:v>43891</c:v>
                </c:pt>
                <c:pt idx="37">
                  <c:v>43892</c:v>
                </c:pt>
                <c:pt idx="38">
                  <c:v>43893</c:v>
                </c:pt>
                <c:pt idx="39">
                  <c:v>43894</c:v>
                </c:pt>
                <c:pt idx="40">
                  <c:v>43895</c:v>
                </c:pt>
                <c:pt idx="41">
                  <c:v>43896</c:v>
                </c:pt>
                <c:pt idx="42">
                  <c:v>43897</c:v>
                </c:pt>
                <c:pt idx="43">
                  <c:v>43898</c:v>
                </c:pt>
                <c:pt idx="44">
                  <c:v>43899</c:v>
                </c:pt>
                <c:pt idx="45">
                  <c:v>43900</c:v>
                </c:pt>
                <c:pt idx="46">
                  <c:v>43901</c:v>
                </c:pt>
                <c:pt idx="47">
                  <c:v>43902</c:v>
                </c:pt>
                <c:pt idx="48">
                  <c:v>43903</c:v>
                </c:pt>
                <c:pt idx="49">
                  <c:v>43904</c:v>
                </c:pt>
                <c:pt idx="50">
                  <c:v>43905</c:v>
                </c:pt>
                <c:pt idx="51">
                  <c:v>43906</c:v>
                </c:pt>
                <c:pt idx="52">
                  <c:v>43907</c:v>
                </c:pt>
                <c:pt idx="53">
                  <c:v>43908</c:v>
                </c:pt>
                <c:pt idx="54">
                  <c:v>43909</c:v>
                </c:pt>
                <c:pt idx="55">
                  <c:v>43910</c:v>
                </c:pt>
                <c:pt idx="56">
                  <c:v>43911</c:v>
                </c:pt>
                <c:pt idx="57">
                  <c:v>43912</c:v>
                </c:pt>
                <c:pt idx="58">
                  <c:v>43913</c:v>
                </c:pt>
                <c:pt idx="59">
                  <c:v>43914</c:v>
                </c:pt>
                <c:pt idx="60">
                  <c:v>43915</c:v>
                </c:pt>
                <c:pt idx="61">
                  <c:v>43916</c:v>
                </c:pt>
                <c:pt idx="62">
                  <c:v>43917</c:v>
                </c:pt>
                <c:pt idx="63">
                  <c:v>43918</c:v>
                </c:pt>
                <c:pt idx="64">
                  <c:v>43919</c:v>
                </c:pt>
                <c:pt idx="65">
                  <c:v>43920</c:v>
                </c:pt>
                <c:pt idx="66">
                  <c:v>43921</c:v>
                </c:pt>
                <c:pt idx="67">
                  <c:v>43922</c:v>
                </c:pt>
                <c:pt idx="68">
                  <c:v>43923</c:v>
                </c:pt>
                <c:pt idx="69">
                  <c:v>43924</c:v>
                </c:pt>
                <c:pt idx="70">
                  <c:v>43925</c:v>
                </c:pt>
                <c:pt idx="71">
                  <c:v>43926</c:v>
                </c:pt>
                <c:pt idx="72">
                  <c:v>43927</c:v>
                </c:pt>
                <c:pt idx="73">
                  <c:v>43928</c:v>
                </c:pt>
                <c:pt idx="74">
                  <c:v>43929</c:v>
                </c:pt>
                <c:pt idx="75">
                  <c:v>43930</c:v>
                </c:pt>
                <c:pt idx="76">
                  <c:v>43931</c:v>
                </c:pt>
                <c:pt idx="77">
                  <c:v>43932</c:v>
                </c:pt>
                <c:pt idx="78">
                  <c:v>43933</c:v>
                </c:pt>
                <c:pt idx="79">
                  <c:v>43934</c:v>
                </c:pt>
                <c:pt idx="80">
                  <c:v>43935</c:v>
                </c:pt>
                <c:pt idx="81">
                  <c:v>43936</c:v>
                </c:pt>
                <c:pt idx="82">
                  <c:v>43937</c:v>
                </c:pt>
                <c:pt idx="83">
                  <c:v>43938</c:v>
                </c:pt>
                <c:pt idx="84">
                  <c:v>43939</c:v>
                </c:pt>
                <c:pt idx="85">
                  <c:v>43940</c:v>
                </c:pt>
                <c:pt idx="86">
                  <c:v>43941</c:v>
                </c:pt>
                <c:pt idx="87">
                  <c:v>43942</c:v>
                </c:pt>
                <c:pt idx="88">
                  <c:v>43943</c:v>
                </c:pt>
                <c:pt idx="89">
                  <c:v>43944</c:v>
                </c:pt>
                <c:pt idx="90">
                  <c:v>43945</c:v>
                </c:pt>
                <c:pt idx="91">
                  <c:v>43946</c:v>
                </c:pt>
              </c:numCache>
            </c:numRef>
          </c:cat>
          <c:val>
            <c:numRef>
              <c:f>'Time Trends Ontario'!$C$29:$C$120</c:f>
              <c:numCache>
                <c:formatCode>#,##0.00</c:formatCode>
                <c:ptCount val="92"/>
                <c:pt idx="0">
                  <c:v>1</c:v>
                </c:pt>
                <c:pt idx="2">
                  <c:v>1</c:v>
                </c:pt>
                <c:pt idx="6">
                  <c:v>1</c:v>
                </c:pt>
                <c:pt idx="29">
                  <c:v>1</c:v>
                </c:pt>
                <c:pt idx="32">
                  <c:v>1</c:v>
                </c:pt>
                <c:pt idx="33">
                  <c:v>1</c:v>
                </c:pt>
                <c:pt idx="34">
                  <c:v>1</c:v>
                </c:pt>
                <c:pt idx="35">
                  <c:v>3</c:v>
                </c:pt>
                <c:pt idx="36">
                  <c:v>4</c:v>
                </c:pt>
                <c:pt idx="37">
                  <c:v>3</c:v>
                </c:pt>
                <c:pt idx="38">
                  <c:v>2</c:v>
                </c:pt>
                <c:pt idx="39">
                  <c:v>1</c:v>
                </c:pt>
                <c:pt idx="40">
                  <c:v>2</c:v>
                </c:pt>
                <c:pt idx="41">
                  <c:v>6</c:v>
                </c:pt>
                <c:pt idx="43">
                  <c:v>1</c:v>
                </c:pt>
                <c:pt idx="46">
                  <c:v>5</c:v>
                </c:pt>
                <c:pt idx="47">
                  <c:v>20</c:v>
                </c:pt>
                <c:pt idx="48">
                  <c:v>20</c:v>
                </c:pt>
                <c:pt idx="49">
                  <c:v>24</c:v>
                </c:pt>
                <c:pt idx="50">
                  <c:v>39</c:v>
                </c:pt>
                <c:pt idx="51">
                  <c:v>35</c:v>
                </c:pt>
                <c:pt idx="52">
                  <c:v>12</c:v>
                </c:pt>
                <c:pt idx="53">
                  <c:v>25</c:v>
                </c:pt>
                <c:pt idx="54">
                  <c:v>37</c:v>
                </c:pt>
                <c:pt idx="55">
                  <c:v>60</c:v>
                </c:pt>
                <c:pt idx="56">
                  <c:v>66</c:v>
                </c:pt>
                <c:pt idx="57">
                  <c:v>48</c:v>
                </c:pt>
                <c:pt idx="58">
                  <c:v>78</c:v>
                </c:pt>
                <c:pt idx="59">
                  <c:v>85</c:v>
                </c:pt>
                <c:pt idx="60">
                  <c:v>100</c:v>
                </c:pt>
                <c:pt idx="61">
                  <c:v>170</c:v>
                </c:pt>
                <c:pt idx="62">
                  <c:v>135</c:v>
                </c:pt>
                <c:pt idx="63">
                  <c:v>151</c:v>
                </c:pt>
                <c:pt idx="64">
                  <c:v>211</c:v>
                </c:pt>
                <c:pt idx="65">
                  <c:v>611</c:v>
                </c:pt>
                <c:pt idx="66">
                  <c:v>400</c:v>
                </c:pt>
                <c:pt idx="67">
                  <c:v>427</c:v>
                </c:pt>
                <c:pt idx="68">
                  <c:v>462</c:v>
                </c:pt>
                <c:pt idx="69">
                  <c:v>375</c:v>
                </c:pt>
                <c:pt idx="70">
                  <c:v>408</c:v>
                </c:pt>
                <c:pt idx="71">
                  <c:v>150</c:v>
                </c:pt>
                <c:pt idx="72">
                  <c:v>159</c:v>
                </c:pt>
                <c:pt idx="73">
                  <c:v>379</c:v>
                </c:pt>
                <c:pt idx="74">
                  <c:v>524</c:v>
                </c:pt>
                <c:pt idx="75">
                  <c:v>509</c:v>
                </c:pt>
                <c:pt idx="76">
                  <c:v>141</c:v>
                </c:pt>
                <c:pt idx="77">
                  <c:v>600</c:v>
                </c:pt>
                <c:pt idx="78">
                  <c:v>549</c:v>
                </c:pt>
                <c:pt idx="79">
                  <c:v>751</c:v>
                </c:pt>
                <c:pt idx="80">
                  <c:v>300</c:v>
                </c:pt>
                <c:pt idx="81">
                  <c:v>800</c:v>
                </c:pt>
                <c:pt idx="82">
                  <c:v>625</c:v>
                </c:pt>
                <c:pt idx="83">
                  <c:v>475</c:v>
                </c:pt>
                <c:pt idx="84">
                  <c:v>750</c:v>
                </c:pt>
                <c:pt idx="85">
                  <c:v>434</c:v>
                </c:pt>
                <c:pt idx="86">
                  <c:v>316</c:v>
                </c:pt>
                <c:pt idx="87">
                  <c:v>500</c:v>
                </c:pt>
                <c:pt idx="88">
                  <c:v>500</c:v>
                </c:pt>
                <c:pt idx="89">
                  <c:v>500</c:v>
                </c:pt>
                <c:pt idx="90">
                  <c:v>500</c:v>
                </c:pt>
                <c:pt idx="91">
                  <c:v>495</c:v>
                </c:pt>
              </c:numCache>
            </c:numRef>
          </c:val>
          <c:smooth val="0"/>
          <c:extLst>
            <c:ext xmlns:c16="http://schemas.microsoft.com/office/drawing/2014/chart" uri="{C3380CC4-5D6E-409C-BE32-E72D297353CC}">
              <c16:uniqueId val="{00000000-B83B-4799-B688-CD2FA07AD721}"/>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Cumulative Confirmed Patients Waterloo</a:t>
            </a:r>
            <a:r>
              <a:rPr lang="en-CA" baseline="0"/>
              <a:t>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'Time Trends Kitchener Region'!$A$69:$A$120</c:f>
              <c:numCache>
                <c:formatCode>d\-mmm</c:formatCode>
                <c:ptCount val="52"/>
                <c:pt idx="0">
                  <c:v>43895</c:v>
                </c:pt>
                <c:pt idx="1">
                  <c:v>43896</c:v>
                </c:pt>
                <c:pt idx="2">
                  <c:v>43897</c:v>
                </c:pt>
                <c:pt idx="3">
                  <c:v>43898</c:v>
                </c:pt>
                <c:pt idx="4">
                  <c:v>43899</c:v>
                </c:pt>
                <c:pt idx="5">
                  <c:v>43900</c:v>
                </c:pt>
                <c:pt idx="6">
                  <c:v>43901</c:v>
                </c:pt>
                <c:pt idx="7">
                  <c:v>43902</c:v>
                </c:pt>
                <c:pt idx="8">
                  <c:v>43903</c:v>
                </c:pt>
                <c:pt idx="9">
                  <c:v>43904</c:v>
                </c:pt>
                <c:pt idx="10">
                  <c:v>43905</c:v>
                </c:pt>
                <c:pt idx="11">
                  <c:v>43906</c:v>
                </c:pt>
                <c:pt idx="12">
                  <c:v>43907</c:v>
                </c:pt>
                <c:pt idx="13">
                  <c:v>43908</c:v>
                </c:pt>
                <c:pt idx="14">
                  <c:v>43909</c:v>
                </c:pt>
                <c:pt idx="15">
                  <c:v>43910</c:v>
                </c:pt>
                <c:pt idx="16">
                  <c:v>43911</c:v>
                </c:pt>
                <c:pt idx="17">
                  <c:v>43912</c:v>
                </c:pt>
                <c:pt idx="18">
                  <c:v>43913</c:v>
                </c:pt>
                <c:pt idx="19">
                  <c:v>43914</c:v>
                </c:pt>
                <c:pt idx="20">
                  <c:v>43915</c:v>
                </c:pt>
                <c:pt idx="21">
                  <c:v>43916</c:v>
                </c:pt>
                <c:pt idx="22">
                  <c:v>43917</c:v>
                </c:pt>
                <c:pt idx="23">
                  <c:v>43918</c:v>
                </c:pt>
                <c:pt idx="24">
                  <c:v>43919</c:v>
                </c:pt>
                <c:pt idx="25">
                  <c:v>43920</c:v>
                </c:pt>
                <c:pt idx="26">
                  <c:v>43921</c:v>
                </c:pt>
                <c:pt idx="27">
                  <c:v>43922</c:v>
                </c:pt>
                <c:pt idx="28">
                  <c:v>43923</c:v>
                </c:pt>
                <c:pt idx="29">
                  <c:v>43924</c:v>
                </c:pt>
                <c:pt idx="30">
                  <c:v>43925</c:v>
                </c:pt>
                <c:pt idx="31">
                  <c:v>43926</c:v>
                </c:pt>
                <c:pt idx="32">
                  <c:v>43927</c:v>
                </c:pt>
                <c:pt idx="33">
                  <c:v>43928</c:v>
                </c:pt>
                <c:pt idx="34">
                  <c:v>43929</c:v>
                </c:pt>
                <c:pt idx="35">
                  <c:v>43930</c:v>
                </c:pt>
                <c:pt idx="36">
                  <c:v>43931</c:v>
                </c:pt>
                <c:pt idx="37">
                  <c:v>43932</c:v>
                </c:pt>
                <c:pt idx="38">
                  <c:v>43933</c:v>
                </c:pt>
                <c:pt idx="39">
                  <c:v>43934</c:v>
                </c:pt>
                <c:pt idx="40">
                  <c:v>43935</c:v>
                </c:pt>
                <c:pt idx="41">
                  <c:v>43936</c:v>
                </c:pt>
                <c:pt idx="42">
                  <c:v>43937</c:v>
                </c:pt>
                <c:pt idx="43">
                  <c:v>43938</c:v>
                </c:pt>
                <c:pt idx="44">
                  <c:v>43939</c:v>
                </c:pt>
                <c:pt idx="45">
                  <c:v>43940</c:v>
                </c:pt>
                <c:pt idx="46">
                  <c:v>43941</c:v>
                </c:pt>
                <c:pt idx="47">
                  <c:v>43942</c:v>
                </c:pt>
                <c:pt idx="48">
                  <c:v>43943</c:v>
                </c:pt>
                <c:pt idx="49">
                  <c:v>43944</c:v>
                </c:pt>
                <c:pt idx="50">
                  <c:v>43945</c:v>
                </c:pt>
                <c:pt idx="51">
                  <c:v>43946</c:v>
                </c:pt>
              </c:numCache>
            </c:numRef>
          </c:cat>
          <c:val>
            <c:numRef>
              <c:f>'Time Trends Kitchener Region'!$B$69:$B$120</c:f>
              <c:numCache>
                <c:formatCode>#,##0.00</c:formatCode>
                <c:ptCount val="52"/>
                <c:pt idx="0">
                  <c:v>1</c:v>
                </c:pt>
                <c:pt idx="1">
                  <c:v>1</c:v>
                </c:pt>
                <c:pt idx="2">
                  <c:v>1</c:v>
                </c:pt>
                <c:pt idx="3">
                  <c:v>1</c:v>
                </c:pt>
                <c:pt idx="4">
                  <c:v>1</c:v>
                </c:pt>
                <c:pt idx="5">
                  <c:v>1</c:v>
                </c:pt>
                <c:pt idx="6">
                  <c:v>1</c:v>
                </c:pt>
                <c:pt idx="7">
                  <c:v>3</c:v>
                </c:pt>
                <c:pt idx="8">
                  <c:v>4</c:v>
                </c:pt>
                <c:pt idx="9">
                  <c:v>4</c:v>
                </c:pt>
                <c:pt idx="10">
                  <c:v>5</c:v>
                </c:pt>
                <c:pt idx="11">
                  <c:v>8</c:v>
                </c:pt>
                <c:pt idx="12">
                  <c:v>10</c:v>
                </c:pt>
                <c:pt idx="13">
                  <c:v>10</c:v>
                </c:pt>
                <c:pt idx="14">
                  <c:v>12</c:v>
                </c:pt>
                <c:pt idx="15">
                  <c:v>15</c:v>
                </c:pt>
                <c:pt idx="16">
                  <c:v>15</c:v>
                </c:pt>
                <c:pt idx="17">
                  <c:v>15</c:v>
                </c:pt>
                <c:pt idx="18">
                  <c:v>32</c:v>
                </c:pt>
                <c:pt idx="19">
                  <c:v>58</c:v>
                </c:pt>
                <c:pt idx="20">
                  <c:v>58</c:v>
                </c:pt>
                <c:pt idx="21">
                  <c:v>69</c:v>
                </c:pt>
                <c:pt idx="22">
                  <c:v>69</c:v>
                </c:pt>
                <c:pt idx="23">
                  <c:v>69</c:v>
                </c:pt>
                <c:pt idx="24">
                  <c:v>69</c:v>
                </c:pt>
                <c:pt idx="25">
                  <c:v>103</c:v>
                </c:pt>
                <c:pt idx="26">
                  <c:v>117</c:v>
                </c:pt>
                <c:pt idx="27">
                  <c:v>135</c:v>
                </c:pt>
                <c:pt idx="28">
                  <c:v>148</c:v>
                </c:pt>
                <c:pt idx="29">
                  <c:v>148</c:v>
                </c:pt>
                <c:pt idx="30">
                  <c:v>148</c:v>
                </c:pt>
                <c:pt idx="31">
                  <c:v>185</c:v>
                </c:pt>
                <c:pt idx="32">
                  <c:v>195</c:v>
                </c:pt>
                <c:pt idx="33">
                  <c:v>220</c:v>
                </c:pt>
                <c:pt idx="34">
                  <c:v>230</c:v>
                </c:pt>
                <c:pt idx="35">
                  <c:v>242</c:v>
                </c:pt>
                <c:pt idx="36">
                  <c:v>250</c:v>
                </c:pt>
                <c:pt idx="37">
                  <c:v>275</c:v>
                </c:pt>
                <c:pt idx="38">
                  <c:v>327</c:v>
                </c:pt>
                <c:pt idx="39">
                  <c:v>350</c:v>
                </c:pt>
                <c:pt idx="40">
                  <c:v>375</c:v>
                </c:pt>
                <c:pt idx="41">
                  <c:v>380</c:v>
                </c:pt>
                <c:pt idx="42">
                  <c:v>399</c:v>
                </c:pt>
                <c:pt idx="43">
                  <c:v>430</c:v>
                </c:pt>
                <c:pt idx="44">
                  <c:v>460</c:v>
                </c:pt>
                <c:pt idx="45">
                  <c:v>503</c:v>
                </c:pt>
                <c:pt idx="46">
                  <c:v>525</c:v>
                </c:pt>
                <c:pt idx="47">
                  <c:v>575</c:v>
                </c:pt>
                <c:pt idx="48">
                  <c:v>600</c:v>
                </c:pt>
                <c:pt idx="49">
                  <c:v>620</c:v>
                </c:pt>
                <c:pt idx="50">
                  <c:v>630</c:v>
                </c:pt>
                <c:pt idx="51">
                  <c:v>634</c:v>
                </c:pt>
              </c:numCache>
            </c:numRef>
          </c:val>
          <c:smooth val="0"/>
          <c:extLst>
            <c:ext xmlns:c16="http://schemas.microsoft.com/office/drawing/2014/chart" uri="{C3380CC4-5D6E-409C-BE32-E72D297353CC}">
              <c16:uniqueId val="{00000000-5DBB-4CD9-9300-4B597DEF5BE5}"/>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Cumulative Confirmed Patients Waterloo+</a:t>
            </a:r>
            <a:r>
              <a:rPr lang="en-CA" baseline="0"/>
              <a:t> Projection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858570319340582E-2"/>
          <c:y val="9.236216939910856E-2"/>
          <c:w val="0.92866523813606638"/>
          <c:h val="0.81030306928138207"/>
        </c:manualLayout>
      </c:layout>
      <c:lineChart>
        <c:grouping val="standard"/>
        <c:varyColors val="0"/>
        <c:ser>
          <c:idx val="0"/>
          <c:order val="0"/>
          <c:spPr>
            <a:ln w="28575" cap="rnd">
              <a:solidFill>
                <a:schemeClr val="accent1"/>
              </a:solidFill>
              <a:round/>
            </a:ln>
            <a:effectLst/>
          </c:spPr>
          <c:marker>
            <c:symbol val="none"/>
          </c:marker>
          <c:cat>
            <c:numRef>
              <c:f>'Time Trends Kitchener Region'!$A$69:$A$99</c:f>
              <c:numCache>
                <c:formatCode>d\-mmm</c:formatCode>
                <c:ptCount val="31"/>
                <c:pt idx="0">
                  <c:v>43895</c:v>
                </c:pt>
                <c:pt idx="1">
                  <c:v>43896</c:v>
                </c:pt>
                <c:pt idx="2">
                  <c:v>43897</c:v>
                </c:pt>
                <c:pt idx="3">
                  <c:v>43898</c:v>
                </c:pt>
                <c:pt idx="4">
                  <c:v>43899</c:v>
                </c:pt>
                <c:pt idx="5">
                  <c:v>43900</c:v>
                </c:pt>
                <c:pt idx="6">
                  <c:v>43901</c:v>
                </c:pt>
                <c:pt idx="7">
                  <c:v>43902</c:v>
                </c:pt>
                <c:pt idx="8">
                  <c:v>43903</c:v>
                </c:pt>
                <c:pt idx="9">
                  <c:v>43904</c:v>
                </c:pt>
                <c:pt idx="10">
                  <c:v>43905</c:v>
                </c:pt>
                <c:pt idx="11">
                  <c:v>43906</c:v>
                </c:pt>
                <c:pt idx="12">
                  <c:v>43907</c:v>
                </c:pt>
                <c:pt idx="13">
                  <c:v>43908</c:v>
                </c:pt>
                <c:pt idx="14">
                  <c:v>43909</c:v>
                </c:pt>
                <c:pt idx="15">
                  <c:v>43910</c:v>
                </c:pt>
                <c:pt idx="16">
                  <c:v>43911</c:v>
                </c:pt>
                <c:pt idx="17">
                  <c:v>43912</c:v>
                </c:pt>
                <c:pt idx="18">
                  <c:v>43913</c:v>
                </c:pt>
                <c:pt idx="19">
                  <c:v>43914</c:v>
                </c:pt>
                <c:pt idx="20">
                  <c:v>43915</c:v>
                </c:pt>
                <c:pt idx="21">
                  <c:v>43916</c:v>
                </c:pt>
                <c:pt idx="22">
                  <c:v>43917</c:v>
                </c:pt>
                <c:pt idx="23">
                  <c:v>43918</c:v>
                </c:pt>
                <c:pt idx="24">
                  <c:v>43919</c:v>
                </c:pt>
                <c:pt idx="25">
                  <c:v>43920</c:v>
                </c:pt>
                <c:pt idx="26">
                  <c:v>43921</c:v>
                </c:pt>
                <c:pt idx="27">
                  <c:v>43922</c:v>
                </c:pt>
                <c:pt idx="28">
                  <c:v>43923</c:v>
                </c:pt>
                <c:pt idx="29">
                  <c:v>43924</c:v>
                </c:pt>
                <c:pt idx="30">
                  <c:v>43925</c:v>
                </c:pt>
              </c:numCache>
            </c:numRef>
          </c:cat>
          <c:val>
            <c:numRef>
              <c:f>'Time Trends Kitchener Region'!$B$69:$B$99</c:f>
              <c:numCache>
                <c:formatCode>#,##0.00</c:formatCode>
                <c:ptCount val="31"/>
                <c:pt idx="0">
                  <c:v>1</c:v>
                </c:pt>
                <c:pt idx="1">
                  <c:v>1</c:v>
                </c:pt>
                <c:pt idx="2">
                  <c:v>1</c:v>
                </c:pt>
                <c:pt idx="3">
                  <c:v>1</c:v>
                </c:pt>
                <c:pt idx="4">
                  <c:v>1</c:v>
                </c:pt>
                <c:pt idx="5">
                  <c:v>1</c:v>
                </c:pt>
                <c:pt idx="6">
                  <c:v>1</c:v>
                </c:pt>
                <c:pt idx="7">
                  <c:v>3</c:v>
                </c:pt>
                <c:pt idx="8">
                  <c:v>4</c:v>
                </c:pt>
                <c:pt idx="9">
                  <c:v>4</c:v>
                </c:pt>
                <c:pt idx="10">
                  <c:v>5</c:v>
                </c:pt>
                <c:pt idx="11">
                  <c:v>8</c:v>
                </c:pt>
                <c:pt idx="12">
                  <c:v>10</c:v>
                </c:pt>
                <c:pt idx="13">
                  <c:v>10</c:v>
                </c:pt>
                <c:pt idx="14">
                  <c:v>12</c:v>
                </c:pt>
                <c:pt idx="15">
                  <c:v>15</c:v>
                </c:pt>
                <c:pt idx="16">
                  <c:v>15</c:v>
                </c:pt>
                <c:pt idx="17">
                  <c:v>15</c:v>
                </c:pt>
                <c:pt idx="18">
                  <c:v>32</c:v>
                </c:pt>
                <c:pt idx="19">
                  <c:v>58</c:v>
                </c:pt>
                <c:pt idx="20">
                  <c:v>58</c:v>
                </c:pt>
                <c:pt idx="21">
                  <c:v>69</c:v>
                </c:pt>
                <c:pt idx="22">
                  <c:v>69</c:v>
                </c:pt>
                <c:pt idx="23">
                  <c:v>69</c:v>
                </c:pt>
                <c:pt idx="24">
                  <c:v>69</c:v>
                </c:pt>
                <c:pt idx="25">
                  <c:v>103</c:v>
                </c:pt>
                <c:pt idx="26">
                  <c:v>117</c:v>
                </c:pt>
                <c:pt idx="27">
                  <c:v>135</c:v>
                </c:pt>
                <c:pt idx="28">
                  <c:v>148</c:v>
                </c:pt>
                <c:pt idx="29">
                  <c:v>148</c:v>
                </c:pt>
                <c:pt idx="30">
                  <c:v>148</c:v>
                </c:pt>
              </c:numCache>
            </c:numRef>
          </c:val>
          <c:smooth val="0"/>
          <c:extLst>
            <c:ext xmlns:c16="http://schemas.microsoft.com/office/drawing/2014/chart" uri="{C3380CC4-5D6E-409C-BE32-E72D297353CC}">
              <c16:uniqueId val="{00000000-2C0F-40C8-A878-40AD37E1D3CD}"/>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New Patients Waterloo</a:t>
            </a:r>
            <a:r>
              <a:rPr lang="en-CA" baseline="0"/>
              <a:t>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'Time Trends Kitchener Region'!$A$69:$A$120</c:f>
              <c:numCache>
                <c:formatCode>d\-mmm</c:formatCode>
                <c:ptCount val="52"/>
                <c:pt idx="0">
                  <c:v>43895</c:v>
                </c:pt>
                <c:pt idx="1">
                  <c:v>43896</c:v>
                </c:pt>
                <c:pt idx="2">
                  <c:v>43897</c:v>
                </c:pt>
                <c:pt idx="3">
                  <c:v>43898</c:v>
                </c:pt>
                <c:pt idx="4">
                  <c:v>43899</c:v>
                </c:pt>
                <c:pt idx="5">
                  <c:v>43900</c:v>
                </c:pt>
                <c:pt idx="6">
                  <c:v>43901</c:v>
                </c:pt>
                <c:pt idx="7">
                  <c:v>43902</c:v>
                </c:pt>
                <c:pt idx="8">
                  <c:v>43903</c:v>
                </c:pt>
                <c:pt idx="9">
                  <c:v>43904</c:v>
                </c:pt>
                <c:pt idx="10">
                  <c:v>43905</c:v>
                </c:pt>
                <c:pt idx="11">
                  <c:v>43906</c:v>
                </c:pt>
                <c:pt idx="12">
                  <c:v>43907</c:v>
                </c:pt>
                <c:pt idx="13">
                  <c:v>43908</c:v>
                </c:pt>
                <c:pt idx="14">
                  <c:v>43909</c:v>
                </c:pt>
                <c:pt idx="15">
                  <c:v>43910</c:v>
                </c:pt>
                <c:pt idx="16">
                  <c:v>43911</c:v>
                </c:pt>
                <c:pt idx="17">
                  <c:v>43912</c:v>
                </c:pt>
                <c:pt idx="18">
                  <c:v>43913</c:v>
                </c:pt>
                <c:pt idx="19">
                  <c:v>43914</c:v>
                </c:pt>
                <c:pt idx="20">
                  <c:v>43915</c:v>
                </c:pt>
                <c:pt idx="21">
                  <c:v>43916</c:v>
                </c:pt>
                <c:pt idx="22">
                  <c:v>43917</c:v>
                </c:pt>
                <c:pt idx="23">
                  <c:v>43918</c:v>
                </c:pt>
                <c:pt idx="24">
                  <c:v>43919</c:v>
                </c:pt>
                <c:pt idx="25">
                  <c:v>43920</c:v>
                </c:pt>
                <c:pt idx="26">
                  <c:v>43921</c:v>
                </c:pt>
                <c:pt idx="27">
                  <c:v>43922</c:v>
                </c:pt>
                <c:pt idx="28">
                  <c:v>43923</c:v>
                </c:pt>
                <c:pt idx="29">
                  <c:v>43924</c:v>
                </c:pt>
                <c:pt idx="30">
                  <c:v>43925</c:v>
                </c:pt>
                <c:pt idx="31">
                  <c:v>43926</c:v>
                </c:pt>
                <c:pt idx="32">
                  <c:v>43927</c:v>
                </c:pt>
                <c:pt idx="33">
                  <c:v>43928</c:v>
                </c:pt>
                <c:pt idx="34">
                  <c:v>43929</c:v>
                </c:pt>
                <c:pt idx="35">
                  <c:v>43930</c:v>
                </c:pt>
                <c:pt idx="36">
                  <c:v>43931</c:v>
                </c:pt>
                <c:pt idx="37">
                  <c:v>43932</c:v>
                </c:pt>
                <c:pt idx="38">
                  <c:v>43933</c:v>
                </c:pt>
                <c:pt idx="39">
                  <c:v>43934</c:v>
                </c:pt>
                <c:pt idx="40">
                  <c:v>43935</c:v>
                </c:pt>
                <c:pt idx="41">
                  <c:v>43936</c:v>
                </c:pt>
                <c:pt idx="42">
                  <c:v>43937</c:v>
                </c:pt>
                <c:pt idx="43">
                  <c:v>43938</c:v>
                </c:pt>
                <c:pt idx="44">
                  <c:v>43939</c:v>
                </c:pt>
                <c:pt idx="45">
                  <c:v>43940</c:v>
                </c:pt>
                <c:pt idx="46">
                  <c:v>43941</c:v>
                </c:pt>
                <c:pt idx="47">
                  <c:v>43942</c:v>
                </c:pt>
                <c:pt idx="48">
                  <c:v>43943</c:v>
                </c:pt>
                <c:pt idx="49">
                  <c:v>43944</c:v>
                </c:pt>
                <c:pt idx="50">
                  <c:v>43945</c:v>
                </c:pt>
                <c:pt idx="51">
                  <c:v>43946</c:v>
                </c:pt>
              </c:numCache>
            </c:numRef>
          </c:cat>
          <c:val>
            <c:numRef>
              <c:f>'Time Trends Kitchener Region'!$C$69:$C$120</c:f>
              <c:numCache>
                <c:formatCode>#,##0.00</c:formatCode>
                <c:ptCount val="52"/>
                <c:pt idx="7">
                  <c:v>2</c:v>
                </c:pt>
                <c:pt idx="8">
                  <c:v>1</c:v>
                </c:pt>
                <c:pt idx="9">
                  <c:v>0</c:v>
                </c:pt>
                <c:pt idx="10">
                  <c:v>1</c:v>
                </c:pt>
                <c:pt idx="11">
                  <c:v>3</c:v>
                </c:pt>
                <c:pt idx="12">
                  <c:v>2</c:v>
                </c:pt>
                <c:pt idx="13">
                  <c:v>0</c:v>
                </c:pt>
                <c:pt idx="14">
                  <c:v>2</c:v>
                </c:pt>
                <c:pt idx="15">
                  <c:v>3</c:v>
                </c:pt>
                <c:pt idx="16">
                  <c:v>0</c:v>
                </c:pt>
                <c:pt idx="17">
                  <c:v>0</c:v>
                </c:pt>
                <c:pt idx="18">
                  <c:v>17</c:v>
                </c:pt>
                <c:pt idx="19">
                  <c:v>26</c:v>
                </c:pt>
                <c:pt idx="20">
                  <c:v>0</c:v>
                </c:pt>
                <c:pt idx="21">
                  <c:v>11</c:v>
                </c:pt>
                <c:pt idx="22">
                  <c:v>0</c:v>
                </c:pt>
                <c:pt idx="23">
                  <c:v>0</c:v>
                </c:pt>
                <c:pt idx="24">
                  <c:v>0</c:v>
                </c:pt>
                <c:pt idx="25">
                  <c:v>34</c:v>
                </c:pt>
                <c:pt idx="26">
                  <c:v>14</c:v>
                </c:pt>
                <c:pt idx="27">
                  <c:v>18</c:v>
                </c:pt>
                <c:pt idx="28">
                  <c:v>13</c:v>
                </c:pt>
                <c:pt idx="29">
                  <c:v>0</c:v>
                </c:pt>
                <c:pt idx="30">
                  <c:v>0</c:v>
                </c:pt>
                <c:pt idx="31">
                  <c:v>37</c:v>
                </c:pt>
                <c:pt idx="32">
                  <c:v>10</c:v>
                </c:pt>
                <c:pt idx="33">
                  <c:v>25</c:v>
                </c:pt>
                <c:pt idx="34">
                  <c:v>10</c:v>
                </c:pt>
                <c:pt idx="35">
                  <c:v>12</c:v>
                </c:pt>
                <c:pt idx="36">
                  <c:v>8</c:v>
                </c:pt>
                <c:pt idx="37">
                  <c:v>25</c:v>
                </c:pt>
                <c:pt idx="38">
                  <c:v>52</c:v>
                </c:pt>
                <c:pt idx="39">
                  <c:v>23</c:v>
                </c:pt>
                <c:pt idx="40">
                  <c:v>25</c:v>
                </c:pt>
                <c:pt idx="41">
                  <c:v>5</c:v>
                </c:pt>
                <c:pt idx="42">
                  <c:v>19</c:v>
                </c:pt>
                <c:pt idx="43">
                  <c:v>31</c:v>
                </c:pt>
                <c:pt idx="44">
                  <c:v>30</c:v>
                </c:pt>
                <c:pt idx="45">
                  <c:v>43</c:v>
                </c:pt>
                <c:pt idx="46">
                  <c:v>22</c:v>
                </c:pt>
                <c:pt idx="47">
                  <c:v>50</c:v>
                </c:pt>
                <c:pt idx="48">
                  <c:v>25</c:v>
                </c:pt>
                <c:pt idx="49">
                  <c:v>20</c:v>
                </c:pt>
                <c:pt idx="50">
                  <c:v>10</c:v>
                </c:pt>
                <c:pt idx="51">
                  <c:v>4</c:v>
                </c:pt>
              </c:numCache>
            </c:numRef>
          </c:val>
          <c:smooth val="0"/>
          <c:extLst>
            <c:ext xmlns:c16="http://schemas.microsoft.com/office/drawing/2014/chart" uri="{C3380CC4-5D6E-409C-BE32-E72D297353CC}">
              <c16:uniqueId val="{00000000-DABB-49EE-95E9-F23CE2FDABA7}"/>
            </c:ext>
          </c:extLst>
        </c:ser>
        <c:dLbls>
          <c:showLegendKey val="0"/>
          <c:showVal val="0"/>
          <c:showCatName val="0"/>
          <c:showSerName val="0"/>
          <c:showPercent val="0"/>
          <c:showBubbleSize val="0"/>
        </c:dLbls>
        <c:smooth val="0"/>
        <c:axId val="728408312"/>
        <c:axId val="728406712"/>
      </c:lineChart>
      <c:dateAx>
        <c:axId val="728408312"/>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6712"/>
        <c:crosses val="autoZero"/>
        <c:auto val="1"/>
        <c:lblOffset val="100"/>
        <c:baseTimeUnit val="days"/>
      </c:dateAx>
      <c:valAx>
        <c:axId val="728406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408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481013</xdr:colOff>
      <xdr:row>2</xdr:row>
      <xdr:rowOff>47624</xdr:rowOff>
    </xdr:from>
    <xdr:to>
      <xdr:col>10</xdr:col>
      <xdr:colOff>166688</xdr:colOff>
      <xdr:row>56</xdr:row>
      <xdr:rowOff>19049</xdr:rowOff>
    </xdr:to>
    <xdr:sp macro="" textlink="">
      <xdr:nvSpPr>
        <xdr:cNvPr id="2" name="TextBox 1">
          <a:extLst>
            <a:ext uri="{FF2B5EF4-FFF2-40B4-BE49-F238E27FC236}">
              <a16:creationId xmlns:a16="http://schemas.microsoft.com/office/drawing/2014/main" id="{1AE65218-6440-4353-99CD-A8840F3E3414}"/>
            </a:ext>
          </a:extLst>
        </xdr:cNvPr>
        <xdr:cNvSpPr txBox="1"/>
      </xdr:nvSpPr>
      <xdr:spPr>
        <a:xfrm>
          <a:off x="481013" y="409574"/>
          <a:ext cx="6367463" cy="974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800"/>
            <a:t>Covid 19 Forecast</a:t>
          </a:r>
          <a:r>
            <a:rPr lang="en-CA" sz="2800" baseline="0"/>
            <a:t> and Ratio Comparative.</a:t>
          </a:r>
          <a:endParaRPr lang="en-CA" sz="2800"/>
        </a:p>
        <a:p>
          <a:endParaRPr lang="en-CA" sz="1100"/>
        </a:p>
        <a:p>
          <a:endParaRPr lang="en-CA" sz="1100"/>
        </a:p>
        <a:p>
          <a:r>
            <a:rPr lang="en-CA" sz="1100" baseline="0"/>
            <a:t>Advanced Analytics and Research Lab</a:t>
          </a:r>
        </a:p>
        <a:p>
          <a:endParaRPr lang="en-CA" sz="1100" baseline="0"/>
        </a:p>
        <a:p>
          <a:r>
            <a:rPr lang="en-CA" sz="1100" baseline="0"/>
            <a:t>Created: March 15 2020</a:t>
          </a:r>
        </a:p>
        <a:p>
          <a:endParaRPr lang="en-CA" sz="1100" baseline="0"/>
        </a:p>
        <a:p>
          <a:r>
            <a:rPr lang="en-CA" sz="1100" b="1" baseline="0"/>
            <a:t>Instructions:</a:t>
          </a:r>
        </a:p>
        <a:p>
          <a:r>
            <a:rPr lang="en-CA" sz="1100" baseline="0"/>
            <a:t>There are two main models enclosed. Time trend model and comparative model.</a:t>
          </a:r>
        </a:p>
        <a:p>
          <a:endParaRPr lang="en-CA" sz="1100" baseline="0"/>
        </a:p>
        <a:p>
          <a:r>
            <a:rPr lang="en-CA" sz="1100" baseline="0"/>
            <a:t>Set up: Fill out all the </a:t>
          </a:r>
          <a:r>
            <a:rPr lang="en-CA" sz="1100" baseline="0">
              <a:solidFill>
                <a:schemeClr val="accent2"/>
              </a:solidFill>
            </a:rPr>
            <a:t>orange cells</a:t>
          </a:r>
          <a:r>
            <a:rPr lang="en-CA" sz="1100" baseline="0"/>
            <a:t>. In this model, we used the "kitchener/waterloo region" in Canada as a localized target. </a:t>
          </a:r>
        </a:p>
        <a:p>
          <a:endParaRPr lang="en-CA" sz="1100" baseline="0"/>
        </a:p>
        <a:p>
          <a:r>
            <a:rPr lang="en-CA" sz="1100" baseline="0"/>
            <a:t>In those models, just fill out the </a:t>
          </a:r>
          <a:r>
            <a:rPr lang="en-CA" sz="1100" baseline="0">
              <a:solidFill>
                <a:srgbClr val="0070C0"/>
              </a:solidFill>
            </a:rPr>
            <a:t>blue cells</a:t>
          </a:r>
          <a:r>
            <a:rPr lang="en-CA" sz="1100" baseline="0"/>
            <a:t> each day. We will update the data for the comparative analysis on the daily on the website as well as perform updates on the Toronto region data. The </a:t>
          </a:r>
          <a:r>
            <a:rPr lang="en-CA" sz="1100" baseline="0">
              <a:solidFill>
                <a:schemeClr val="accent6"/>
              </a:solidFill>
            </a:rPr>
            <a:t>green cells </a:t>
          </a:r>
          <a:r>
            <a:rPr lang="en-CA" sz="1100" baseline="0"/>
            <a:t>are ratios and cells of potentila interest. </a:t>
          </a:r>
          <a:r>
            <a:rPr lang="en-CA" sz="1100" baseline="0">
              <a:solidFill>
                <a:schemeClr val="accent4">
                  <a:lumMod val="75000"/>
                </a:schemeClr>
              </a:solidFill>
            </a:rPr>
            <a:t>Yellow cells </a:t>
          </a:r>
          <a:r>
            <a:rPr lang="en-CA" sz="1100" baseline="0"/>
            <a:t>are specific ratios that you may change and would alter the overall model.</a:t>
          </a:r>
        </a:p>
        <a:p>
          <a:endParaRPr lang="en-CA" sz="1100" baseline="0"/>
        </a:p>
        <a:p>
          <a:r>
            <a:rPr lang="en-CA" sz="1100" baseline="0"/>
            <a:t>The rest of the metrics will update automatically.</a:t>
          </a:r>
        </a:p>
        <a:p>
          <a:endParaRPr lang="en-CA" sz="1100" baseline="0"/>
        </a:p>
        <a:p>
          <a:r>
            <a:rPr lang="en-CA" sz="1100" baseline="0"/>
            <a:t>Again, this is a work in progress and our way to leveraging ratios to do various scenarios. </a:t>
          </a:r>
        </a:p>
        <a:p>
          <a:endParaRPr lang="en-CA" sz="1100" baseline="0"/>
        </a:p>
        <a:p>
          <a:r>
            <a:rPr lang="en-CA" sz="1100" b="1" baseline="0"/>
            <a:t>1) Time trend model: </a:t>
          </a:r>
          <a:r>
            <a:rPr lang="en-CA" sz="1100" b="0" baseline="0"/>
            <a:t>This model is pretty simple, we use it to track the daily growth rate of a specific region and graph out historic daily confirmed cases. For future cases, we use a simulated (uniform probability) of daliy growth rates. So far in Toronto we are seeing around 10-30% daily growth rate. Our simulated daily growth rate follows this. You can change it manually in the cells. You would also have to update the charts to the right data points each day.</a:t>
          </a:r>
        </a:p>
        <a:p>
          <a:endParaRPr lang="en-CA" sz="1100" b="0" baseline="0"/>
        </a:p>
        <a:p>
          <a:r>
            <a:rPr lang="en-CA" sz="1100" b="1" baseline="0"/>
            <a:t>2) Comparative model:</a:t>
          </a:r>
          <a:r>
            <a:rPr lang="en-CA" sz="1100" b="0" baseline="0"/>
            <a:t> We take multiple country and regions confirmed cases, deaths, hospitlized and ICU rates. Since Toronto is "behind the curve" or earlier in the curve compared to other countries, we are able to extrapolate the potential cases, deaths, hospitalization and icu rates using other country's ratio. We then use this to construct the worse case scenario. Note, you can update the days since first day row by using the "comparative cases template" since the formulas are built in there and jump copy and paste over the dates.</a:t>
          </a:r>
        </a:p>
        <a:p>
          <a:endParaRPr lang="en-CA" sz="1100" b="0" baseline="0"/>
        </a:p>
        <a:p>
          <a:r>
            <a:rPr lang="en-CA" sz="1100" b="1" baseline="0"/>
            <a:t>3) Report Template: </a:t>
          </a:r>
          <a:r>
            <a:rPr lang="en-CA" sz="1100" b="0" baseline="0"/>
            <a:t>this is a daily report you can use to disseminate within your organization if it is relavant.</a:t>
          </a:r>
          <a:endParaRPr lang="en-CA" sz="1100" b="1" baseline="0"/>
        </a:p>
        <a:p>
          <a:endParaRPr lang="en-CA" sz="1100" b="0" baseline="0"/>
        </a:p>
        <a:p>
          <a:r>
            <a:rPr lang="en-CA" sz="1100" b="0" baseline="0"/>
            <a:t>References. All the links where we got the numbers should be right next to the cell in question. Let us know if we miss anything</a:t>
          </a:r>
          <a:endParaRPr lang="en-CA" sz="1100" b="1" baseline="0"/>
        </a:p>
        <a:p>
          <a:endParaRPr lang="en-CA" sz="1100" baseline="0"/>
        </a:p>
        <a:p>
          <a:endParaRPr lang="en-CA" sz="1100" baseline="0"/>
        </a:p>
        <a:p>
          <a:endParaRPr lang="en-CA" sz="1100" baseline="0"/>
        </a:p>
        <a:p>
          <a:endParaRPr lang="en-CA" sz="1100" baseline="0"/>
        </a:p>
        <a:p>
          <a:r>
            <a:rPr lang="en-CA" sz="1100"/>
            <a:t>Contact:</a:t>
          </a:r>
          <a:r>
            <a:rPr lang="en-CA" sz="1100" baseline="0"/>
            <a:t> Eric Huang (eric.huang@aaarl.ca)</a:t>
          </a:r>
        </a:p>
        <a:p>
          <a:r>
            <a:rPr lang="en-CA" sz="1100" baseline="0"/>
            <a:t>If you need help with keeping up the model or adding in supply data like hosptial beds and personel changes, we are happy to customize and build new models for you!</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47626</xdr:colOff>
      <xdr:row>26</xdr:row>
      <xdr:rowOff>54428</xdr:rowOff>
    </xdr:from>
    <xdr:to>
      <xdr:col>21</xdr:col>
      <xdr:colOff>380999</xdr:colOff>
      <xdr:row>54</xdr:row>
      <xdr:rowOff>10884</xdr:rowOff>
    </xdr:to>
    <xdr:graphicFrame macro="">
      <xdr:nvGraphicFramePr>
        <xdr:cNvPr id="2" name="Chart 1">
          <a:extLst>
            <a:ext uri="{FF2B5EF4-FFF2-40B4-BE49-F238E27FC236}">
              <a16:creationId xmlns:a16="http://schemas.microsoft.com/office/drawing/2014/main" id="{7D373E77-D776-43A9-9E91-1BD833758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156482</xdr:colOff>
      <xdr:row>57</xdr:row>
      <xdr:rowOff>74839</xdr:rowOff>
    </xdr:from>
    <xdr:to>
      <xdr:col>21</xdr:col>
      <xdr:colOff>489855</xdr:colOff>
      <xdr:row>85</xdr:row>
      <xdr:rowOff>31295</xdr:rowOff>
    </xdr:to>
    <xdr:graphicFrame macro="">
      <xdr:nvGraphicFramePr>
        <xdr:cNvPr id="4" name="Chart 3">
          <a:extLst>
            <a:ext uri="{FF2B5EF4-FFF2-40B4-BE49-F238E27FC236}">
              <a16:creationId xmlns:a16="http://schemas.microsoft.com/office/drawing/2014/main" id="{E3FF7948-6BD8-4051-8D35-EB1287177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130481</xdr:colOff>
      <xdr:row>66</xdr:row>
      <xdr:rowOff>7163</xdr:rowOff>
    </xdr:from>
    <xdr:to>
      <xdr:col>18</xdr:col>
      <xdr:colOff>130481</xdr:colOff>
      <xdr:row>82</xdr:row>
      <xdr:rowOff>173030</xdr:rowOff>
    </xdr:to>
    <xdr:cxnSp macro="">
      <xdr:nvCxnSpPr>
        <xdr:cNvPr id="5" name="Straight Connector 4">
          <a:extLst>
            <a:ext uri="{FF2B5EF4-FFF2-40B4-BE49-F238E27FC236}">
              <a16:creationId xmlns:a16="http://schemas.microsoft.com/office/drawing/2014/main" id="{001221B8-21D7-48D2-9B9A-7A1757E794C6}"/>
            </a:ext>
          </a:extLst>
        </xdr:cNvPr>
        <xdr:cNvCxnSpPr/>
      </xdr:nvCxnSpPr>
      <xdr:spPr>
        <a:xfrm flipV="1">
          <a:off x="13431863" y="12580163"/>
          <a:ext cx="0" cy="3213867"/>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150466</xdr:colOff>
      <xdr:row>90</xdr:row>
      <xdr:rowOff>73107</xdr:rowOff>
    </xdr:from>
    <xdr:to>
      <xdr:col>21</xdr:col>
      <xdr:colOff>379619</xdr:colOff>
      <xdr:row>110</xdr:row>
      <xdr:rowOff>4086</xdr:rowOff>
    </xdr:to>
    <xdr:graphicFrame macro="">
      <xdr:nvGraphicFramePr>
        <xdr:cNvPr id="7" name="Chart 6">
          <a:extLst>
            <a:ext uri="{FF2B5EF4-FFF2-40B4-BE49-F238E27FC236}">
              <a16:creationId xmlns:a16="http://schemas.microsoft.com/office/drawing/2014/main" id="{24A2BD2F-E5A0-483E-8D3A-131892DA35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47626</xdr:colOff>
      <xdr:row>26</xdr:row>
      <xdr:rowOff>54428</xdr:rowOff>
    </xdr:from>
    <xdr:to>
      <xdr:col>22</xdr:col>
      <xdr:colOff>380999</xdr:colOff>
      <xdr:row>54</xdr:row>
      <xdr:rowOff>10884</xdr:rowOff>
    </xdr:to>
    <xdr:graphicFrame macro="">
      <xdr:nvGraphicFramePr>
        <xdr:cNvPr id="2" name="Chart 1">
          <a:extLst>
            <a:ext uri="{FF2B5EF4-FFF2-40B4-BE49-F238E27FC236}">
              <a16:creationId xmlns:a16="http://schemas.microsoft.com/office/drawing/2014/main" id="{EC99825E-E176-45FC-9ADF-BB307A92DE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258535</xdr:colOff>
      <xdr:row>4</xdr:row>
      <xdr:rowOff>149678</xdr:rowOff>
    </xdr:from>
    <xdr:to>
      <xdr:col>17</xdr:col>
      <xdr:colOff>353786</xdr:colOff>
      <xdr:row>20</xdr:row>
      <xdr:rowOff>61232</xdr:rowOff>
    </xdr:to>
    <xdr:sp macro="" textlink="">
      <xdr:nvSpPr>
        <xdr:cNvPr id="3" name="TextBox 2">
          <a:extLst>
            <a:ext uri="{FF2B5EF4-FFF2-40B4-BE49-F238E27FC236}">
              <a16:creationId xmlns:a16="http://schemas.microsoft.com/office/drawing/2014/main" id="{39D623D5-3485-4A6A-8ECF-F14448DE9482}"/>
            </a:ext>
          </a:extLst>
        </xdr:cNvPr>
        <xdr:cNvSpPr txBox="1"/>
      </xdr:nvSpPr>
      <xdr:spPr>
        <a:xfrm>
          <a:off x="7871732" y="517071"/>
          <a:ext cx="4619625" cy="2850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a:t>
          </a:r>
          <a:r>
            <a:rPr lang="en-CA" sz="1100" baseline="0"/>
            <a:t> use comparatvie cases to build a sensitivity around peak.</a:t>
          </a:r>
        </a:p>
        <a:p>
          <a:endParaRPr lang="en-CA" sz="1100"/>
        </a:p>
      </xdr:txBody>
    </xdr:sp>
    <xdr:clientData/>
  </xdr:twoCellAnchor>
  <xdr:twoCellAnchor>
    <xdr:from>
      <xdr:col>9</xdr:col>
      <xdr:colOff>156482</xdr:colOff>
      <xdr:row>57</xdr:row>
      <xdr:rowOff>74839</xdr:rowOff>
    </xdr:from>
    <xdr:to>
      <xdr:col>22</xdr:col>
      <xdr:colOff>489855</xdr:colOff>
      <xdr:row>85</xdr:row>
      <xdr:rowOff>31295</xdr:rowOff>
    </xdr:to>
    <xdr:graphicFrame macro="">
      <xdr:nvGraphicFramePr>
        <xdr:cNvPr id="4" name="Chart 3">
          <a:extLst>
            <a:ext uri="{FF2B5EF4-FFF2-40B4-BE49-F238E27FC236}">
              <a16:creationId xmlns:a16="http://schemas.microsoft.com/office/drawing/2014/main" id="{E5C8AB9C-DB42-4640-AF35-5257369A3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599469</xdr:colOff>
      <xdr:row>67</xdr:row>
      <xdr:rowOff>36286</xdr:rowOff>
    </xdr:from>
    <xdr:to>
      <xdr:col>19</xdr:col>
      <xdr:colOff>599469</xdr:colOff>
      <xdr:row>83</xdr:row>
      <xdr:rowOff>139723</xdr:rowOff>
    </xdr:to>
    <xdr:cxnSp macro="">
      <xdr:nvCxnSpPr>
        <xdr:cNvPr id="5" name="Straight Connector 4">
          <a:extLst>
            <a:ext uri="{FF2B5EF4-FFF2-40B4-BE49-F238E27FC236}">
              <a16:creationId xmlns:a16="http://schemas.microsoft.com/office/drawing/2014/main" id="{49E40B82-1C8B-438F-BB3F-2C73038961FD}"/>
            </a:ext>
          </a:extLst>
        </xdr:cNvPr>
        <xdr:cNvCxnSpPr/>
      </xdr:nvCxnSpPr>
      <xdr:spPr>
        <a:xfrm flipV="1">
          <a:off x="14710076" y="12799786"/>
          <a:ext cx="0" cy="3151437"/>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0</xdr:colOff>
      <xdr:row>88</xdr:row>
      <xdr:rowOff>0</xdr:rowOff>
    </xdr:from>
    <xdr:to>
      <xdr:col>22</xdr:col>
      <xdr:colOff>333373</xdr:colOff>
      <xdr:row>115</xdr:row>
      <xdr:rowOff>140152</xdr:rowOff>
    </xdr:to>
    <xdr:graphicFrame macro="">
      <xdr:nvGraphicFramePr>
        <xdr:cNvPr id="7" name="Chart 6">
          <a:extLst>
            <a:ext uri="{FF2B5EF4-FFF2-40B4-BE49-F238E27FC236}">
              <a16:creationId xmlns:a16="http://schemas.microsoft.com/office/drawing/2014/main" id="{AA32C65F-AA4A-4B62-972F-FB8E01C8B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47626</xdr:colOff>
      <xdr:row>26</xdr:row>
      <xdr:rowOff>54428</xdr:rowOff>
    </xdr:from>
    <xdr:to>
      <xdr:col>22</xdr:col>
      <xdr:colOff>380999</xdr:colOff>
      <xdr:row>54</xdr:row>
      <xdr:rowOff>10884</xdr:rowOff>
    </xdr:to>
    <xdr:graphicFrame macro="">
      <xdr:nvGraphicFramePr>
        <xdr:cNvPr id="2" name="Chart 1">
          <a:extLst>
            <a:ext uri="{FF2B5EF4-FFF2-40B4-BE49-F238E27FC236}">
              <a16:creationId xmlns:a16="http://schemas.microsoft.com/office/drawing/2014/main" id="{3934F2DD-81D4-4DDA-A3B7-151735D4E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258535</xdr:colOff>
      <xdr:row>4</xdr:row>
      <xdr:rowOff>149678</xdr:rowOff>
    </xdr:from>
    <xdr:to>
      <xdr:col>17</xdr:col>
      <xdr:colOff>353786</xdr:colOff>
      <xdr:row>20</xdr:row>
      <xdr:rowOff>61232</xdr:rowOff>
    </xdr:to>
    <xdr:sp macro="" textlink="">
      <xdr:nvSpPr>
        <xdr:cNvPr id="3" name="TextBox 2">
          <a:extLst>
            <a:ext uri="{FF2B5EF4-FFF2-40B4-BE49-F238E27FC236}">
              <a16:creationId xmlns:a16="http://schemas.microsoft.com/office/drawing/2014/main" id="{A0E61C26-2A21-4336-B2F4-4D7F1CD0B6BF}"/>
            </a:ext>
          </a:extLst>
        </xdr:cNvPr>
        <xdr:cNvSpPr txBox="1"/>
      </xdr:nvSpPr>
      <xdr:spPr>
        <a:xfrm>
          <a:off x="9445398" y="511628"/>
          <a:ext cx="4629151" cy="2807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a:t>
          </a:r>
          <a:r>
            <a:rPr lang="en-CA" sz="1100" baseline="0"/>
            <a:t> use comparatvie cases to build a sensitivity around peak.</a:t>
          </a:r>
        </a:p>
        <a:p>
          <a:endParaRPr lang="en-CA" sz="1100"/>
        </a:p>
      </xdr:txBody>
    </xdr:sp>
    <xdr:clientData/>
  </xdr:twoCellAnchor>
  <xdr:twoCellAnchor>
    <xdr:from>
      <xdr:col>9</xdr:col>
      <xdr:colOff>156482</xdr:colOff>
      <xdr:row>57</xdr:row>
      <xdr:rowOff>74839</xdr:rowOff>
    </xdr:from>
    <xdr:to>
      <xdr:col>22</xdr:col>
      <xdr:colOff>489855</xdr:colOff>
      <xdr:row>85</xdr:row>
      <xdr:rowOff>31295</xdr:rowOff>
    </xdr:to>
    <xdr:graphicFrame macro="">
      <xdr:nvGraphicFramePr>
        <xdr:cNvPr id="4" name="Chart 3">
          <a:extLst>
            <a:ext uri="{FF2B5EF4-FFF2-40B4-BE49-F238E27FC236}">
              <a16:creationId xmlns:a16="http://schemas.microsoft.com/office/drawing/2014/main" id="{E047F690-C4FE-4554-8D77-43461E037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353082</xdr:colOff>
      <xdr:row>65</xdr:row>
      <xdr:rowOff>172435</xdr:rowOff>
    </xdr:from>
    <xdr:to>
      <xdr:col>15</xdr:col>
      <xdr:colOff>353082</xdr:colOff>
      <xdr:row>82</xdr:row>
      <xdr:rowOff>147802</xdr:rowOff>
    </xdr:to>
    <xdr:cxnSp macro="">
      <xdr:nvCxnSpPr>
        <xdr:cNvPr id="6" name="Straight Connector 5">
          <a:extLst>
            <a:ext uri="{FF2B5EF4-FFF2-40B4-BE49-F238E27FC236}">
              <a16:creationId xmlns:a16="http://schemas.microsoft.com/office/drawing/2014/main" id="{3D3D46D9-5B4C-46C9-9C13-A09471090F5B}"/>
            </a:ext>
          </a:extLst>
        </xdr:cNvPr>
        <xdr:cNvCxnSpPr/>
      </xdr:nvCxnSpPr>
      <xdr:spPr>
        <a:xfrm flipV="1">
          <a:off x="12784849" y="11914461"/>
          <a:ext cx="0" cy="3046358"/>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276946</xdr:colOff>
      <xdr:row>88</xdr:row>
      <xdr:rowOff>132069</xdr:rowOff>
    </xdr:from>
    <xdr:to>
      <xdr:col>23</xdr:col>
      <xdr:colOff>5202</xdr:colOff>
      <xdr:row>116</xdr:row>
      <xdr:rowOff>88525</xdr:rowOff>
    </xdr:to>
    <xdr:graphicFrame macro="">
      <xdr:nvGraphicFramePr>
        <xdr:cNvPr id="7" name="Chart 6">
          <a:extLst>
            <a:ext uri="{FF2B5EF4-FFF2-40B4-BE49-F238E27FC236}">
              <a16:creationId xmlns:a16="http://schemas.microsoft.com/office/drawing/2014/main" id="{DEA3C902-58D4-4751-8886-0FFAE4177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ourworldindata.org/coronavirus"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toronto.ca/home/covid-19/"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canada.ca/en/public-health/services/diseases/2019-novel-coronavirus-infection.htm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regionofwaterloo.ca/en/health-and-wellness/positive-cases-in-waterloo-region.aspx"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jamanetwork.com/journals/jama/fullarticle/2762130" TargetMode="External"/><Relationship Id="rId1" Type="http://schemas.openxmlformats.org/officeDocument/2006/relationships/hyperlink" Target="https://www.washingtonpost.com/world/europe/coronavirus-in-italy-fills-hospital-beds-and-turns-doctors-into-patients/2020/03/03/60a723a2-5c9e-11ea-ac50-18701e14e06d_stor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AA6AA-5A6C-43C7-A7CC-BF67005FFCB0}">
  <sheetPr codeName="Sheet1"/>
  <dimension ref="A1:P94"/>
  <sheetViews>
    <sheetView workbookViewId="0">
      <selection activeCell="O11" sqref="O11"/>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6" bestFit="1" customWidth="1"/>
  </cols>
  <sheetData>
    <row r="1" spans="1:16" x14ac:dyDescent="0.25">
      <c r="A1" s="26">
        <v>43913</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130</v>
      </c>
      <c r="C4" s="54">
        <v>70</v>
      </c>
      <c r="D4" s="54">
        <v>55</v>
      </c>
      <c r="E4" s="54">
        <v>55</v>
      </c>
      <c r="F4" s="54">
        <v>65</v>
      </c>
      <c r="G4" s="54">
        <v>65</v>
      </c>
      <c r="H4" s="54">
        <v>55</v>
      </c>
      <c r="I4" s="54">
        <v>61</v>
      </c>
      <c r="J4" s="54">
        <v>36</v>
      </c>
      <c r="K4" s="57">
        <v>36</v>
      </c>
      <c r="L4" s="62">
        <v>61</v>
      </c>
      <c r="M4" s="54">
        <v>61</v>
      </c>
      <c r="N4" s="54">
        <v>61</v>
      </c>
      <c r="O4" s="67">
        <v>21</v>
      </c>
    </row>
    <row r="5" spans="1:16" x14ac:dyDescent="0.25">
      <c r="A5" s="48" t="s">
        <v>33</v>
      </c>
      <c r="B5" s="48"/>
      <c r="C5" s="48"/>
      <c r="D5" s="48"/>
      <c r="E5" s="48"/>
      <c r="F5" s="48"/>
      <c r="G5" s="48"/>
      <c r="H5" s="48"/>
      <c r="I5" s="48"/>
      <c r="J5" s="48"/>
      <c r="K5" s="55"/>
      <c r="L5" s="60"/>
      <c r="M5" s="48"/>
      <c r="N5" s="48"/>
      <c r="O5" s="67"/>
    </row>
    <row r="6" spans="1:16" x14ac:dyDescent="0.25">
      <c r="A6" s="48" t="s">
        <v>32</v>
      </c>
      <c r="B6" s="43">
        <v>142823000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81848</v>
      </c>
      <c r="C9" s="54">
        <v>1193</v>
      </c>
      <c r="D9" s="54">
        <v>69176</v>
      </c>
      <c r="E9" s="54">
        <v>39673</v>
      </c>
      <c r="F9" s="54">
        <v>51914</v>
      </c>
      <c r="G9" s="54">
        <v>9137</v>
      </c>
      <c r="H9" s="54">
        <v>8081</v>
      </c>
      <c r="I9" s="54">
        <v>2252</v>
      </c>
      <c r="J9" s="54">
        <v>24811</v>
      </c>
      <c r="K9" s="57">
        <v>22025</v>
      </c>
      <c r="L9" s="62">
        <v>3385</v>
      </c>
      <c r="M9" s="54">
        <v>688</v>
      </c>
      <c r="N9" s="54">
        <v>319</v>
      </c>
      <c r="O9" s="67">
        <v>58</v>
      </c>
      <c r="P9" s="1"/>
    </row>
    <row r="10" spans="1:16" x14ac:dyDescent="0.25">
      <c r="A10" s="48" t="s">
        <v>34</v>
      </c>
      <c r="B10" s="54"/>
      <c r="C10" s="54"/>
      <c r="D10" s="54"/>
      <c r="E10" s="54"/>
      <c r="F10" s="54"/>
      <c r="G10" s="54"/>
      <c r="H10" s="54"/>
      <c r="I10" s="54"/>
      <c r="J10" s="54"/>
      <c r="K10" s="57"/>
      <c r="L10" s="62"/>
      <c r="M10" s="54"/>
      <c r="N10" s="54">
        <v>22</v>
      </c>
      <c r="O10" s="67"/>
    </row>
    <row r="11" spans="1:16" x14ac:dyDescent="0.25">
      <c r="A11" s="48" t="s">
        <v>35</v>
      </c>
      <c r="B11" s="54">
        <v>3287</v>
      </c>
      <c r="C11" s="54">
        <v>43</v>
      </c>
      <c r="D11" s="54">
        <v>6820</v>
      </c>
      <c r="E11" s="54">
        <v>2696</v>
      </c>
      <c r="F11" s="54">
        <v>673</v>
      </c>
      <c r="G11" s="54">
        <v>126</v>
      </c>
      <c r="H11" s="54">
        <v>422</v>
      </c>
      <c r="I11" s="54">
        <v>8</v>
      </c>
      <c r="J11" s="54">
        <v>1934</v>
      </c>
      <c r="K11" s="57">
        <v>1100</v>
      </c>
      <c r="L11" s="62">
        <v>35</v>
      </c>
      <c r="M11" s="54">
        <v>13</v>
      </c>
      <c r="N11" s="54">
        <v>4</v>
      </c>
      <c r="O11" s="67">
        <v>0</v>
      </c>
    </row>
    <row r="13" spans="1:16" x14ac:dyDescent="0.25">
      <c r="A13" s="48" t="s">
        <v>36</v>
      </c>
      <c r="B13" s="48"/>
      <c r="C13" s="48"/>
      <c r="D13" s="48"/>
      <c r="E13" s="48"/>
      <c r="F13" s="48"/>
      <c r="G13" s="48"/>
      <c r="H13" s="48"/>
      <c r="I13" s="48"/>
      <c r="J13" s="48"/>
      <c r="K13" s="48"/>
      <c r="L13" s="48"/>
      <c r="M13" s="48"/>
      <c r="N13" s="48"/>
      <c r="O13" s="48"/>
    </row>
    <row r="14" spans="1:16" x14ac:dyDescent="0.25">
      <c r="A14" s="48" t="s">
        <v>34</v>
      </c>
      <c r="B14" s="48"/>
      <c r="C14" s="48"/>
      <c r="D14" s="48"/>
      <c r="E14" s="48"/>
      <c r="F14" s="48"/>
      <c r="G14" s="48"/>
      <c r="H14" s="48"/>
      <c r="I14" s="48"/>
      <c r="J14" s="48"/>
      <c r="K14" s="48"/>
      <c r="L14" s="48"/>
      <c r="M14" s="48"/>
      <c r="N14" s="48"/>
      <c r="O14" s="48"/>
    </row>
    <row r="15" spans="1:16" x14ac:dyDescent="0.25">
      <c r="A15" s="48" t="s">
        <v>35</v>
      </c>
      <c r="B15" s="71">
        <f>B11/B9</f>
        <v>4.0159808425373866E-2</v>
      </c>
      <c r="C15" s="71">
        <f t="shared" ref="C15:O15" si="0">C11/C9</f>
        <v>3.6043587594300083E-2</v>
      </c>
      <c r="D15" s="71">
        <f t="shared" si="0"/>
        <v>9.8589106048340466E-2</v>
      </c>
      <c r="E15" s="71">
        <f t="shared" si="0"/>
        <v>6.7955536510977244E-2</v>
      </c>
      <c r="F15" s="71">
        <f t="shared" si="0"/>
        <v>1.2963747736641369E-2</v>
      </c>
      <c r="G15" s="71">
        <f t="shared" si="0"/>
        <v>1.3790084272737223E-2</v>
      </c>
      <c r="H15" s="71">
        <f t="shared" si="0"/>
        <v>5.2221259745081051E-2</v>
      </c>
      <c r="I15" s="71">
        <f t="shared" si="0"/>
        <v>3.552397868561279E-3</v>
      </c>
      <c r="J15" s="71">
        <f t="shared" si="0"/>
        <v>7.79492966829229E-2</v>
      </c>
      <c r="K15" s="71">
        <f t="shared" si="0"/>
        <v>4.9943246311010214E-2</v>
      </c>
      <c r="L15" s="71">
        <f t="shared" si="0"/>
        <v>1.03397341211226E-2</v>
      </c>
      <c r="M15" s="71">
        <f t="shared" si="0"/>
        <v>1.8895348837209301E-2</v>
      </c>
      <c r="N15" s="71">
        <f t="shared" si="0"/>
        <v>1.2539184952978056E-2</v>
      </c>
      <c r="O15" s="7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s="48" t="s">
        <v>58</v>
      </c>
      <c r="B18" s="72">
        <v>0.15</v>
      </c>
      <c r="C18" s="72"/>
      <c r="D18" s="72">
        <v>0.56000000000000005</v>
      </c>
      <c r="E18" s="72"/>
      <c r="F18" s="72"/>
      <c r="G18" s="72"/>
      <c r="H18" s="72"/>
      <c r="I18" s="72"/>
      <c r="J18" s="72"/>
      <c r="K18" s="72"/>
      <c r="L18" s="72">
        <v>0.13</v>
      </c>
      <c r="M18" s="72"/>
      <c r="N18" s="72">
        <f>N10/N9</f>
        <v>6.8965517241379309E-2</v>
      </c>
      <c r="O18" s="73"/>
    </row>
    <row r="19" spans="1:15" x14ac:dyDescent="0.25">
      <c r="A19" s="48" t="s">
        <v>59</v>
      </c>
      <c r="B19" s="72">
        <v>0.05</v>
      </c>
      <c r="C19" s="72"/>
      <c r="D19" s="72">
        <v>0.1</v>
      </c>
      <c r="E19" s="72"/>
      <c r="F19" s="72"/>
      <c r="G19" s="72"/>
      <c r="H19" s="72"/>
      <c r="I19" s="72"/>
      <c r="J19" s="72"/>
      <c r="K19" s="72"/>
      <c r="L19" s="72"/>
      <c r="M19" s="72"/>
      <c r="N19" s="72">
        <v>0.04</v>
      </c>
      <c r="O19" s="73"/>
    </row>
    <row r="20" spans="1:15" x14ac:dyDescent="0.25">
      <c r="B20" s="1"/>
      <c r="C20" s="1"/>
      <c r="D20" s="1"/>
      <c r="E20" s="1"/>
      <c r="F20" s="1"/>
      <c r="G20" s="1"/>
      <c r="H20" s="1"/>
      <c r="I20" s="1"/>
      <c r="J20" s="1"/>
      <c r="K20" s="1"/>
      <c r="L20" s="1"/>
      <c r="M20" s="1"/>
      <c r="N20" s="2"/>
    </row>
    <row r="22" spans="1:15" x14ac:dyDescent="0.25">
      <c r="A22" t="s">
        <v>42</v>
      </c>
    </row>
    <row r="23" spans="1:15" x14ac:dyDescent="0.25">
      <c r="A23" s="48" t="s">
        <v>41</v>
      </c>
      <c r="B23" s="66">
        <f t="shared" ref="B23:O23" si="1">B9/B6*100000</f>
        <v>57.307296443850085</v>
      </c>
      <c r="C23" s="66">
        <f t="shared" si="1"/>
        <v>0.94085173501577279</v>
      </c>
      <c r="D23" s="66">
        <f t="shared" si="1"/>
        <v>114.37830687830689</v>
      </c>
      <c r="E23" s="66">
        <f t="shared" si="1"/>
        <v>85.02571795970853</v>
      </c>
      <c r="F23" s="66">
        <f t="shared" si="1"/>
        <v>15.866136919315403</v>
      </c>
      <c r="G23" s="66">
        <f t="shared" si="1"/>
        <v>17.752088595298233</v>
      </c>
      <c r="H23" s="66">
        <f t="shared" si="1"/>
        <v>12.162853702588801</v>
      </c>
      <c r="I23" s="66">
        <f t="shared" si="1"/>
        <v>9.154471544715447</v>
      </c>
      <c r="J23" s="66">
        <f t="shared" si="1"/>
        <v>30.570478068013802</v>
      </c>
      <c r="K23" s="66">
        <f t="shared" si="1"/>
        <v>32.87804149873115</v>
      </c>
      <c r="L23" s="66">
        <f t="shared" si="1"/>
        <v>9.0050545357807916</v>
      </c>
      <c r="M23" s="66">
        <f t="shared" si="1"/>
        <v>4.6931652234274077</v>
      </c>
      <c r="N23" s="66">
        <f t="shared" si="1"/>
        <v>10.887372013651877</v>
      </c>
      <c r="O23" s="66">
        <f t="shared" si="1"/>
        <v>10.49366354600793</v>
      </c>
    </row>
    <row r="24" spans="1:15" x14ac:dyDescent="0.25">
      <c r="A24" s="48" t="s">
        <v>34</v>
      </c>
      <c r="B24" s="65"/>
      <c r="C24" s="65"/>
      <c r="D24" s="65"/>
      <c r="E24" s="65"/>
      <c r="F24" s="65"/>
      <c r="G24" s="65"/>
      <c r="H24" s="65"/>
      <c r="I24" s="65"/>
      <c r="J24" s="65"/>
      <c r="K24" s="65"/>
      <c r="L24" s="65"/>
      <c r="M24" s="65"/>
      <c r="N24" s="65"/>
      <c r="O24" s="65"/>
    </row>
    <row r="25" spans="1:15" x14ac:dyDescent="0.25">
      <c r="A25" s="48" t="s">
        <v>35</v>
      </c>
      <c r="B25" s="66">
        <f>B11/B6*100000</f>
        <v>2.3014500465611283</v>
      </c>
      <c r="C25" s="66">
        <f t="shared" ref="C25:O25" si="2">C11/C6*100000</f>
        <v>3.3911671924290218E-2</v>
      </c>
      <c r="D25" s="66">
        <f t="shared" si="2"/>
        <v>11.276455026455027</v>
      </c>
      <c r="E25" s="66">
        <f t="shared" si="2"/>
        <v>5.7779682811830257</v>
      </c>
      <c r="F25" s="66">
        <f t="shared" si="2"/>
        <v>0.20568459657701713</v>
      </c>
      <c r="G25" s="66">
        <f t="shared" si="2"/>
        <v>0.24480279774625996</v>
      </c>
      <c r="H25" s="66">
        <f t="shared" si="2"/>
        <v>0.63515954244431061</v>
      </c>
      <c r="I25" s="66">
        <f t="shared" si="2"/>
        <v>3.2520325203252029E-2</v>
      </c>
      <c r="J25" s="66">
        <f t="shared" si="2"/>
        <v>2.3829472646623953</v>
      </c>
      <c r="K25" s="66">
        <f t="shared" si="2"/>
        <v>1.6420361247947455</v>
      </c>
      <c r="L25" s="66">
        <f t="shared" si="2"/>
        <v>9.3109869646182494E-2</v>
      </c>
      <c r="M25" s="66">
        <f t="shared" si="2"/>
        <v>8.86789940473202E-2</v>
      </c>
      <c r="N25" s="66">
        <f t="shared" si="2"/>
        <v>0.13651877133105803</v>
      </c>
      <c r="O25" s="66">
        <f t="shared" si="2"/>
        <v>0</v>
      </c>
    </row>
    <row r="26" spans="1:15" x14ac:dyDescent="0.25">
      <c r="N26" s="1"/>
      <c r="O26" s="31"/>
    </row>
    <row r="28" spans="1:15" hidden="1" x14ac:dyDescent="0.25">
      <c r="A28" s="10" t="s">
        <v>74</v>
      </c>
    </row>
    <row r="29" spans="1:15" hidden="1" x14ac:dyDescent="0.25"/>
    <row r="30" spans="1:15" hidden="1" x14ac:dyDescent="0.25"/>
    <row r="31" spans="1:15" hidden="1" x14ac:dyDescent="0.25">
      <c r="A31" t="s">
        <v>48</v>
      </c>
      <c r="B31" s="7">
        <f t="shared" ref="B31:O31" si="3">B23*$L$6/100000</f>
        <v>21541.812733243245</v>
      </c>
      <c r="C31" s="7">
        <f t="shared" si="3"/>
        <v>353.66616719242899</v>
      </c>
      <c r="D31" s="7">
        <f t="shared" si="3"/>
        <v>42994.805555555562</v>
      </c>
      <c r="E31" s="7">
        <f t="shared" si="3"/>
        <v>31961.167381054434</v>
      </c>
      <c r="F31" s="7">
        <f t="shared" si="3"/>
        <v>5964.0808679706597</v>
      </c>
      <c r="G31" s="7">
        <f t="shared" si="3"/>
        <v>6673.0101029726056</v>
      </c>
      <c r="H31" s="7">
        <f t="shared" si="3"/>
        <v>4572.0167068031305</v>
      </c>
      <c r="I31" s="7">
        <f t="shared" si="3"/>
        <v>3441.1658536585369</v>
      </c>
      <c r="J31" s="7">
        <f t="shared" si="3"/>
        <v>11491.442705766389</v>
      </c>
      <c r="K31" s="7">
        <f t="shared" si="3"/>
        <v>12358.855799373041</v>
      </c>
      <c r="L31" s="7">
        <f t="shared" si="3"/>
        <v>3384.9999999999995</v>
      </c>
      <c r="M31" s="7">
        <f t="shared" si="3"/>
        <v>1764.1608074863625</v>
      </c>
      <c r="N31" s="7">
        <f t="shared" si="3"/>
        <v>4092.5631399317408</v>
      </c>
      <c r="O31" s="7">
        <f t="shared" si="3"/>
        <v>3944.5681269443812</v>
      </c>
    </row>
    <row r="32" spans="1:15" hidden="1" x14ac:dyDescent="0.25">
      <c r="B32" s="7"/>
      <c r="C32" s="7"/>
      <c r="D32" s="7"/>
      <c r="E32" s="7"/>
      <c r="F32" s="7"/>
      <c r="G32" s="7"/>
      <c r="H32" s="7"/>
      <c r="I32" s="7"/>
      <c r="J32" s="7"/>
      <c r="K32" s="7"/>
      <c r="L32" s="7"/>
      <c r="M32" s="7"/>
      <c r="N32" s="7"/>
      <c r="O32" s="7"/>
    </row>
    <row r="33" spans="1:15" hidden="1" x14ac:dyDescent="0.25">
      <c r="A33" t="s">
        <v>49</v>
      </c>
      <c r="B33" s="7">
        <f t="shared" ref="B33:O33" si="4">B25*$L$6/100000</f>
        <v>865.11507250232819</v>
      </c>
      <c r="C33" s="7">
        <f t="shared" si="4"/>
        <v>12.747397476340693</v>
      </c>
      <c r="D33" s="7">
        <f t="shared" si="4"/>
        <v>4238.8194444444443</v>
      </c>
      <c r="E33" s="7">
        <f t="shared" si="4"/>
        <v>2171.9382768966993</v>
      </c>
      <c r="F33" s="7">
        <f t="shared" si="4"/>
        <v>77.316839853300735</v>
      </c>
      <c r="G33" s="7">
        <f t="shared" si="4"/>
        <v>92.021371672819129</v>
      </c>
      <c r="H33" s="7">
        <f t="shared" si="4"/>
        <v>238.75647200481635</v>
      </c>
      <c r="I33" s="7">
        <f t="shared" si="4"/>
        <v>12.224390243902437</v>
      </c>
      <c r="J33" s="7">
        <f t="shared" si="4"/>
        <v>895.74987678659443</v>
      </c>
      <c r="K33" s="7">
        <f t="shared" si="4"/>
        <v>617.24137931034488</v>
      </c>
      <c r="L33" s="7">
        <f t="shared" si="4"/>
        <v>35</v>
      </c>
      <c r="M33" s="7">
        <f t="shared" si="4"/>
        <v>33.334433862387662</v>
      </c>
      <c r="N33" s="7">
        <f t="shared" si="4"/>
        <v>51.317406143344712</v>
      </c>
      <c r="O33" s="7">
        <f t="shared" si="4"/>
        <v>0</v>
      </c>
    </row>
    <row r="34" spans="1:15" hidden="1" x14ac:dyDescent="0.25"/>
    <row r="35" spans="1:15" hidden="1" x14ac:dyDescent="0.25">
      <c r="A35" t="s">
        <v>48</v>
      </c>
      <c r="B35" t="s">
        <v>75</v>
      </c>
    </row>
    <row r="36" spans="1:15" hidden="1" x14ac:dyDescent="0.25">
      <c r="A36" t="s">
        <v>50</v>
      </c>
      <c r="B36" s="7">
        <f>MIN($B$31:$M$31)</f>
        <v>353.66616719242899</v>
      </c>
      <c r="C36" s="7"/>
    </row>
    <row r="37" spans="1:15" hidden="1" x14ac:dyDescent="0.25">
      <c r="A37" t="s">
        <v>51</v>
      </c>
      <c r="B37" s="7">
        <f>MAX(B31:M31)</f>
        <v>42994.805555555562</v>
      </c>
      <c r="C37">
        <f>B37*1.6%</f>
        <v>687.91688888888905</v>
      </c>
      <c r="D37" t="s">
        <v>78</v>
      </c>
    </row>
    <row r="38" spans="1:15" hidden="1" x14ac:dyDescent="0.25"/>
    <row r="39" spans="1:15" hidden="1" x14ac:dyDescent="0.25">
      <c r="A39" t="s">
        <v>49</v>
      </c>
    </row>
    <row r="40" spans="1:15" hidden="1" x14ac:dyDescent="0.25">
      <c r="A40" t="s">
        <v>50</v>
      </c>
      <c r="B40" s="7">
        <f>MIN(B33:M33)</f>
        <v>12.224390243902437</v>
      </c>
    </row>
    <row r="41" spans="1:15" hidden="1" x14ac:dyDescent="0.25">
      <c r="A41" t="s">
        <v>51</v>
      </c>
      <c r="B41" s="7">
        <f>MAX($B$33:$M$33)</f>
        <v>4238.8194444444443</v>
      </c>
      <c r="C41">
        <f>B41*1.6%</f>
        <v>67.821111111111108</v>
      </c>
      <c r="D41" t="s">
        <v>78</v>
      </c>
    </row>
    <row r="42" spans="1:15" hidden="1" x14ac:dyDescent="0.25">
      <c r="B42" s="7"/>
    </row>
    <row r="43" spans="1:15" hidden="1" x14ac:dyDescent="0.25">
      <c r="A43" t="s">
        <v>63</v>
      </c>
      <c r="B43" s="7" t="s">
        <v>65</v>
      </c>
      <c r="C43" t="s">
        <v>66</v>
      </c>
    </row>
    <row r="44" spans="1:15" hidden="1" x14ac:dyDescent="0.25">
      <c r="A44" t="s">
        <v>50</v>
      </c>
      <c r="B44" s="7">
        <f>B18*L9</f>
        <v>507.75</v>
      </c>
      <c r="C44" s="7">
        <f>B36*B18</f>
        <v>53.049925078864348</v>
      </c>
    </row>
    <row r="45" spans="1:15" hidden="1" x14ac:dyDescent="0.25">
      <c r="A45" t="s">
        <v>51</v>
      </c>
      <c r="B45" s="7">
        <f>L9*D18</f>
        <v>1895.6000000000001</v>
      </c>
      <c r="C45" s="7">
        <f>B37*D18</f>
        <v>24077.091111111116</v>
      </c>
      <c r="D45">
        <f>C45*1.6%</f>
        <v>385.23345777777786</v>
      </c>
      <c r="E45" t="s">
        <v>78</v>
      </c>
    </row>
    <row r="46" spans="1:15" hidden="1" x14ac:dyDescent="0.25">
      <c r="B46" s="7"/>
    </row>
    <row r="47" spans="1:15" hidden="1" x14ac:dyDescent="0.25">
      <c r="A47" t="s">
        <v>64</v>
      </c>
      <c r="B47" s="7" t="s">
        <v>77</v>
      </c>
      <c r="C47" t="s">
        <v>76</v>
      </c>
    </row>
    <row r="48" spans="1:15" hidden="1" x14ac:dyDescent="0.25">
      <c r="A48" t="s">
        <v>50</v>
      </c>
      <c r="B48" s="7"/>
    </row>
    <row r="49" spans="1:14" hidden="1" x14ac:dyDescent="0.25">
      <c r="A49" t="s">
        <v>51</v>
      </c>
      <c r="B49" s="7">
        <f>L9*D19</f>
        <v>338.5</v>
      </c>
      <c r="C49" s="7">
        <f>B37*D19</f>
        <v>4299.4805555555567</v>
      </c>
      <c r="D49">
        <f>C49*1.6%</f>
        <v>68.791688888888913</v>
      </c>
      <c r="E49" t="s">
        <v>78</v>
      </c>
    </row>
    <row r="50" spans="1:14" hidden="1" x14ac:dyDescent="0.25"/>
    <row r="51" spans="1:14" hidden="1" x14ac:dyDescent="0.25"/>
    <row r="52" spans="1:14" hidden="1" x14ac:dyDescent="0.25">
      <c r="A52" s="10" t="s">
        <v>47</v>
      </c>
    </row>
    <row r="53" spans="1:14" hidden="1" x14ac:dyDescent="0.25"/>
    <row r="54" spans="1:14" hidden="1" x14ac:dyDescent="0.25">
      <c r="A54" t="s">
        <v>48</v>
      </c>
      <c r="B54" s="7">
        <f t="shared" ref="B54:M54" si="5">B23*$M$6/100000</f>
        <v>8401.0295986500769</v>
      </c>
      <c r="C54" s="7">
        <f t="shared" si="5"/>
        <v>137.92525148264983</v>
      </c>
      <c r="D54" s="7">
        <f t="shared" si="5"/>
        <v>16767.420575661377</v>
      </c>
      <c r="E54" s="7">
        <f t="shared" si="5"/>
        <v>12464.443754136304</v>
      </c>
      <c r="F54" s="7">
        <f t="shared" si="5"/>
        <v>2325.9147464058678</v>
      </c>
      <c r="G54" s="7">
        <f t="shared" si="5"/>
        <v>2602.388020050515</v>
      </c>
      <c r="H54" s="7">
        <f t="shared" si="5"/>
        <v>1783.0276474413004</v>
      </c>
      <c r="I54" s="7">
        <f t="shared" si="5"/>
        <v>1342.0103752845528</v>
      </c>
      <c r="J54" s="7">
        <f t="shared" si="5"/>
        <v>4481.5146941350422</v>
      </c>
      <c r="K54" s="7">
        <f t="shared" si="5"/>
        <v>4819.7946320346309</v>
      </c>
      <c r="L54" s="7">
        <f t="shared" si="5"/>
        <v>1320.1064155360466</v>
      </c>
      <c r="M54" s="7">
        <f t="shared" si="5"/>
        <v>688</v>
      </c>
      <c r="N54" s="7"/>
    </row>
    <row r="55" spans="1:14" hidden="1" x14ac:dyDescent="0.25">
      <c r="B55" s="7"/>
      <c r="C55" s="7"/>
      <c r="D55" s="7"/>
      <c r="E55" s="7"/>
      <c r="F55" s="7"/>
      <c r="G55" s="7"/>
      <c r="H55" s="7"/>
      <c r="I55" s="7"/>
      <c r="J55" s="7"/>
      <c r="K55" s="7"/>
      <c r="L55" s="7"/>
      <c r="M55" s="7"/>
      <c r="N55" s="7"/>
    </row>
    <row r="56" spans="1:14" hidden="1" x14ac:dyDescent="0.25">
      <c r="A56" t="s">
        <v>49</v>
      </c>
      <c r="B56" s="7">
        <f t="shared" ref="B56:M56" si="6">B25*$M$6/100000</f>
        <v>337.38373925768263</v>
      </c>
      <c r="C56" s="7">
        <f t="shared" si="6"/>
        <v>4.9713208832807565</v>
      </c>
      <c r="D56" s="7">
        <f t="shared" si="6"/>
        <v>1653.0850052910055</v>
      </c>
      <c r="E56" s="7">
        <f t="shared" si="6"/>
        <v>847.02796262323182</v>
      </c>
      <c r="F56" s="7">
        <f t="shared" si="6"/>
        <v>30.152572029339854</v>
      </c>
      <c r="G56" s="7">
        <f t="shared" si="6"/>
        <v>35.887150106858364</v>
      </c>
      <c r="H56" s="7">
        <f t="shared" si="6"/>
        <v>93.111949909692953</v>
      </c>
      <c r="I56" s="7">
        <f t="shared" si="6"/>
        <v>4.7673547967479672</v>
      </c>
      <c r="J56" s="7">
        <f t="shared" si="6"/>
        <v>349.33091848201082</v>
      </c>
      <c r="K56" s="7">
        <f t="shared" si="6"/>
        <v>240.71619047619049</v>
      </c>
      <c r="L56" s="7">
        <f t="shared" si="6"/>
        <v>13.649549348230911</v>
      </c>
      <c r="M56" s="7">
        <f t="shared" si="6"/>
        <v>13</v>
      </c>
      <c r="N56" s="7"/>
    </row>
    <row r="57" spans="1:14" hidden="1" x14ac:dyDescent="0.25"/>
    <row r="58" spans="1:14" hidden="1" x14ac:dyDescent="0.25">
      <c r="A58" t="s">
        <v>48</v>
      </c>
    </row>
    <row r="59" spans="1:14" hidden="1" x14ac:dyDescent="0.25">
      <c r="A59" t="s">
        <v>50</v>
      </c>
      <c r="B59" s="7">
        <f>MIN($B$54:$M$54)</f>
        <v>137.92525148264983</v>
      </c>
    </row>
    <row r="60" spans="1:14" hidden="1" x14ac:dyDescent="0.25">
      <c r="A60" t="s">
        <v>51</v>
      </c>
      <c r="B60" s="7">
        <f>MAX($B$54:$M$54)</f>
        <v>16767.420575661377</v>
      </c>
    </row>
    <row r="61" spans="1:14" hidden="1" x14ac:dyDescent="0.25"/>
    <row r="62" spans="1:14" hidden="1" x14ac:dyDescent="0.25">
      <c r="A62" t="s">
        <v>49</v>
      </c>
    </row>
    <row r="63" spans="1:14" hidden="1" x14ac:dyDescent="0.25">
      <c r="A63" t="s">
        <v>50</v>
      </c>
      <c r="B63" s="7">
        <f>MIN($B$56:$M$56)</f>
        <v>4.7673547967479672</v>
      </c>
    </row>
    <row r="64" spans="1:14" hidden="1" x14ac:dyDescent="0.25">
      <c r="A64" t="s">
        <v>51</v>
      </c>
      <c r="B64" s="7">
        <f>MAX($B$56:$M$56)</f>
        <v>1653.0850052910055</v>
      </c>
    </row>
    <row r="65" spans="1:14" hidden="1" x14ac:dyDescent="0.25">
      <c r="B65" s="7"/>
    </row>
    <row r="66" spans="1:14" hidden="1" x14ac:dyDescent="0.25">
      <c r="A66" t="s">
        <v>63</v>
      </c>
      <c r="B66" s="7" t="s">
        <v>77</v>
      </c>
      <c r="C66" t="s">
        <v>76</v>
      </c>
    </row>
    <row r="67" spans="1:14" hidden="1" x14ac:dyDescent="0.25">
      <c r="A67" t="s">
        <v>50</v>
      </c>
      <c r="B67" s="7">
        <f>B18*M9</f>
        <v>103.2</v>
      </c>
    </row>
    <row r="68" spans="1:14" hidden="1" x14ac:dyDescent="0.25">
      <c r="A68" t="s">
        <v>51</v>
      </c>
      <c r="B68" s="7">
        <f>D18*M9</f>
        <v>385.28000000000003</v>
      </c>
      <c r="C68" s="7">
        <f>B60*D18</f>
        <v>9389.755522370373</v>
      </c>
    </row>
    <row r="69" spans="1:14" hidden="1" x14ac:dyDescent="0.25">
      <c r="B69" s="7"/>
    </row>
    <row r="70" spans="1:14" hidden="1" x14ac:dyDescent="0.25">
      <c r="A70" t="s">
        <v>64</v>
      </c>
      <c r="B70" s="7" t="s">
        <v>77</v>
      </c>
      <c r="C70" t="s">
        <v>76</v>
      </c>
    </row>
    <row r="71" spans="1:14" hidden="1" x14ac:dyDescent="0.25">
      <c r="A71" t="s">
        <v>50</v>
      </c>
      <c r="B71" s="7">
        <f>B19*M9</f>
        <v>34.4</v>
      </c>
    </row>
    <row r="72" spans="1:14" hidden="1" x14ac:dyDescent="0.25">
      <c r="A72" t="s">
        <v>51</v>
      </c>
      <c r="B72">
        <f>D19*M9</f>
        <v>68.8</v>
      </c>
      <c r="C72" s="7">
        <f>B60*D19</f>
        <v>1676.7420575661379</v>
      </c>
    </row>
    <row r="74" spans="1:14" x14ac:dyDescent="0.25">
      <c r="A74" s="10" t="s">
        <v>52</v>
      </c>
    </row>
    <row r="76" spans="1:14" x14ac:dyDescent="0.25">
      <c r="A76" s="48" t="s">
        <v>48</v>
      </c>
      <c r="B76" s="43">
        <f t="shared" ref="B76:M76" si="7">B23*$O$6/100000</f>
        <v>316.74573700314374</v>
      </c>
      <c r="C76" s="43">
        <f t="shared" si="7"/>
        <v>5.2002239629337534</v>
      </c>
      <c r="D76" s="43">
        <f t="shared" si="7"/>
        <v>632.18548697089955</v>
      </c>
      <c r="E76" s="43">
        <f t="shared" si="7"/>
        <v>469.94947189241321</v>
      </c>
      <c r="F76" s="43">
        <f t="shared" si="7"/>
        <v>87.694439342909533</v>
      </c>
      <c r="G76" s="43">
        <f t="shared" si="7"/>
        <v>98.118367719059648</v>
      </c>
      <c r="H76" s="43">
        <f t="shared" si="7"/>
        <v>67.225856027995178</v>
      </c>
      <c r="I76" s="43">
        <f t="shared" si="7"/>
        <v>50.598091626016256</v>
      </c>
      <c r="J76" s="43">
        <f t="shared" si="7"/>
        <v>168.96746500123214</v>
      </c>
      <c r="K76" s="43">
        <f t="shared" si="7"/>
        <v>181.72170267950438</v>
      </c>
      <c r="L76" s="43">
        <f t="shared" si="7"/>
        <v>49.772242152168126</v>
      </c>
      <c r="M76" s="43">
        <f t="shared" si="7"/>
        <v>25.939804698840678</v>
      </c>
      <c r="N76" s="7"/>
    </row>
    <row r="77" spans="1:14" x14ac:dyDescent="0.25">
      <c r="A77" s="48"/>
      <c r="B77" s="43"/>
      <c r="C77" s="43"/>
      <c r="D77" s="43"/>
      <c r="E77" s="43"/>
      <c r="F77" s="43"/>
      <c r="G77" s="43"/>
      <c r="H77" s="43"/>
      <c r="I77" s="43"/>
      <c r="J77" s="43"/>
      <c r="K77" s="43"/>
      <c r="L77" s="43"/>
      <c r="M77" s="43"/>
      <c r="N77" s="7"/>
    </row>
    <row r="78" spans="1:14" x14ac:dyDescent="0.25">
      <c r="A78" s="48" t="s">
        <v>49</v>
      </c>
      <c r="B78" s="43">
        <f t="shared" ref="B78:M78" si="8">B25*$O$6/100000</f>
        <v>12.720448117600107</v>
      </c>
      <c r="C78" s="43">
        <f t="shared" si="8"/>
        <v>0.18743472791798108</v>
      </c>
      <c r="D78" s="43">
        <f t="shared" si="8"/>
        <v>62.326602017195775</v>
      </c>
      <c r="E78" s="43">
        <f t="shared" si="8"/>
        <v>31.935668495499357</v>
      </c>
      <c r="F78" s="43">
        <f t="shared" si="8"/>
        <v>1.1368485895476772</v>
      </c>
      <c r="G78" s="43">
        <f t="shared" si="8"/>
        <v>1.353060559549252</v>
      </c>
      <c r="H78" s="43">
        <f t="shared" si="8"/>
        <v>3.5106188892233594</v>
      </c>
      <c r="I78" s="43">
        <f t="shared" si="8"/>
        <v>0.17974455284552845</v>
      </c>
      <c r="J78" s="43">
        <f t="shared" si="8"/>
        <v>13.170895059142435</v>
      </c>
      <c r="K78" s="43">
        <f t="shared" si="8"/>
        <v>9.0757717569786536</v>
      </c>
      <c r="L78" s="43">
        <f t="shared" si="8"/>
        <v>0.51463175046554932</v>
      </c>
      <c r="M78" s="43">
        <f t="shared" si="8"/>
        <v>0.49014165855367559</v>
      </c>
      <c r="N78" s="7"/>
    </row>
    <row r="80" spans="1:14" x14ac:dyDescent="0.25">
      <c r="A80" s="65" t="s">
        <v>48</v>
      </c>
      <c r="B80" s="65" t="s">
        <v>72</v>
      </c>
      <c r="C80" s="65" t="s">
        <v>73</v>
      </c>
    </row>
    <row r="81" spans="1:3" x14ac:dyDescent="0.25">
      <c r="A81" s="65" t="s">
        <v>50</v>
      </c>
      <c r="B81" s="66">
        <f>MIN($B$76:$M$76)</f>
        <v>5.2002239629337534</v>
      </c>
      <c r="C81" s="66">
        <f>MIN($C$76:$M$76)</f>
        <v>5.2002239629337534</v>
      </c>
    </row>
    <row r="82" spans="1:3" x14ac:dyDescent="0.25">
      <c r="A82" s="65" t="s">
        <v>51</v>
      </c>
      <c r="B82" s="66">
        <f>MAX($B$76:$M$76)</f>
        <v>632.18548697089955</v>
      </c>
      <c r="C82" s="66">
        <f>MAX($C$76:$M$76)</f>
        <v>632.18548697089955</v>
      </c>
    </row>
    <row r="83" spans="1:3" x14ac:dyDescent="0.25">
      <c r="A83" s="65"/>
      <c r="B83" s="65"/>
      <c r="C83" s="65"/>
    </row>
    <row r="84" spans="1:3" x14ac:dyDescent="0.25">
      <c r="A84" s="65" t="s">
        <v>49</v>
      </c>
      <c r="B84" s="65"/>
      <c r="C84" s="65"/>
    </row>
    <row r="85" spans="1:3" x14ac:dyDescent="0.25">
      <c r="A85" s="65" t="s">
        <v>50</v>
      </c>
      <c r="B85" s="66">
        <f>MIN($B$78:$M$78)</f>
        <v>0.17974455284552845</v>
      </c>
      <c r="C85" s="66">
        <f>MIN($C$78:$M$78)</f>
        <v>0.17974455284552845</v>
      </c>
    </row>
    <row r="86" spans="1:3" x14ac:dyDescent="0.25">
      <c r="A86" s="65" t="s">
        <v>51</v>
      </c>
      <c r="B86" s="66">
        <f>MAX($B$78:$M$78)</f>
        <v>62.326602017195775</v>
      </c>
      <c r="C86" s="66">
        <f>MAX($C$78:$M$78)</f>
        <v>62.326602017195775</v>
      </c>
    </row>
    <row r="87" spans="1:3" x14ac:dyDescent="0.25">
      <c r="A87" s="65"/>
      <c r="B87" s="65"/>
      <c r="C87" s="65"/>
    </row>
    <row r="88" spans="1:3" x14ac:dyDescent="0.25">
      <c r="A88" s="65" t="s">
        <v>27</v>
      </c>
      <c r="B88" s="65"/>
      <c r="C88" s="65"/>
    </row>
    <row r="89" spans="1:3" x14ac:dyDescent="0.25">
      <c r="A89" s="65" t="s">
        <v>50</v>
      </c>
      <c r="B89" s="66">
        <f>B81*$D$18</f>
        <v>2.9121254192429022</v>
      </c>
      <c r="C89" s="66">
        <f>C81*$D$18</f>
        <v>2.9121254192429022</v>
      </c>
    </row>
    <row r="90" spans="1:3" x14ac:dyDescent="0.25">
      <c r="A90" s="65" t="s">
        <v>51</v>
      </c>
      <c r="B90" s="66">
        <f>B82*$D$18</f>
        <v>354.02387270370377</v>
      </c>
      <c r="C90" s="66">
        <f>C82*$D$18</f>
        <v>354.02387270370377</v>
      </c>
    </row>
    <row r="91" spans="1:3" x14ac:dyDescent="0.25">
      <c r="A91" s="65"/>
      <c r="B91" s="66"/>
      <c r="C91" s="65"/>
    </row>
    <row r="92" spans="1:3" x14ac:dyDescent="0.25">
      <c r="A92" s="65" t="s">
        <v>62</v>
      </c>
      <c r="B92" s="66"/>
      <c r="C92" s="65"/>
    </row>
    <row r="93" spans="1:3" x14ac:dyDescent="0.25">
      <c r="A93" s="65" t="s">
        <v>50</v>
      </c>
      <c r="B93" s="66">
        <f>B81*$D$19</f>
        <v>0.52002239629337532</v>
      </c>
      <c r="C93" s="66">
        <f>C81*$D$19</f>
        <v>0.52002239629337532</v>
      </c>
    </row>
    <row r="94" spans="1:3" x14ac:dyDescent="0.25">
      <c r="A94" s="65" t="s">
        <v>51</v>
      </c>
      <c r="B94" s="66">
        <f>B82*$D$19</f>
        <v>63.218548697089957</v>
      </c>
      <c r="C94" s="66">
        <f>C82*$D$19</f>
        <v>63.218548697089957</v>
      </c>
    </row>
  </sheetData>
  <hyperlinks>
    <hyperlink ref="D17" r:id="rId1" xr:uid="{F0EB667C-9D1C-4B58-AF38-BEBF9C7C81FB}"/>
    <hyperlink ref="B17" r:id="rId2" xr:uid="{2FD0D513-DFA5-46BE-BC5D-C8E358254277}"/>
    <hyperlink ref="B1" r:id="rId3" xr:uid="{1EB93A5F-646B-4C7F-8CFD-0C5BB92AE1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940-A929-4ED8-B526-30568BC6818E}">
  <dimension ref="A1:P95"/>
  <sheetViews>
    <sheetView zoomScale="110" zoomScaleNormal="110" workbookViewId="0">
      <selection activeCell="B25" sqref="B25"/>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43926</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141</v>
      </c>
      <c r="C4" s="54">
        <v>81</v>
      </c>
      <c r="D4" s="54">
        <v>66</v>
      </c>
      <c r="E4" s="54">
        <v>66</v>
      </c>
      <c r="F4" s="54">
        <v>76</v>
      </c>
      <c r="G4" s="54">
        <v>76</v>
      </c>
      <c r="H4" s="54">
        <v>66</v>
      </c>
      <c r="I4" s="54">
        <v>72</v>
      </c>
      <c r="J4" s="54">
        <v>47</v>
      </c>
      <c r="K4" s="57">
        <v>47</v>
      </c>
      <c r="L4" s="62">
        <v>72</v>
      </c>
      <c r="M4" s="54">
        <v>72</v>
      </c>
      <c r="N4" s="54">
        <v>72</v>
      </c>
      <c r="O4" s="67">
        <v>32</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82930</v>
      </c>
      <c r="C9" s="54">
        <v>3271</v>
      </c>
      <c r="D9" s="54">
        <v>124632</v>
      </c>
      <c r="E9" s="54">
        <v>124736</v>
      </c>
      <c r="F9" s="54">
        <v>273808</v>
      </c>
      <c r="G9" s="54">
        <v>10237</v>
      </c>
      <c r="H9" s="54">
        <v>41907</v>
      </c>
      <c r="I9" s="54">
        <v>5635</v>
      </c>
      <c r="J9" s="54">
        <v>55743</v>
      </c>
      <c r="K9" s="57">
        <v>67757</v>
      </c>
      <c r="L9" s="62">
        <v>15496</v>
      </c>
      <c r="M9" s="54">
        <v>4038</v>
      </c>
      <c r="N9" s="54">
        <v>1026</v>
      </c>
      <c r="O9" s="67">
        <v>185</v>
      </c>
      <c r="P9" s="1"/>
    </row>
    <row r="10" spans="1:16" x14ac:dyDescent="0.25">
      <c r="A10" s="48" t="s">
        <v>34</v>
      </c>
      <c r="B10" s="54"/>
      <c r="C10" s="54"/>
      <c r="D10" s="54"/>
      <c r="E10" s="54"/>
      <c r="F10" s="54"/>
      <c r="G10" s="54"/>
      <c r="H10" s="54"/>
      <c r="I10" s="54"/>
      <c r="J10" s="54"/>
      <c r="K10" s="57"/>
      <c r="L10" s="62"/>
      <c r="M10" s="54"/>
      <c r="N10" s="54">
        <f>125+53</f>
        <v>178</v>
      </c>
      <c r="O10" s="67">
        <v>46</v>
      </c>
    </row>
    <row r="11" spans="1:16" x14ac:dyDescent="0.25">
      <c r="A11" s="48" t="s">
        <v>123</v>
      </c>
      <c r="B11" s="54"/>
      <c r="C11" s="54"/>
      <c r="D11" s="54"/>
      <c r="E11" s="54"/>
      <c r="F11" s="54"/>
      <c r="G11" s="54"/>
      <c r="H11" s="54"/>
      <c r="I11" s="54"/>
      <c r="J11" s="54"/>
      <c r="K11" s="57"/>
      <c r="L11" s="62"/>
      <c r="M11" s="54"/>
      <c r="N11" s="54">
        <v>53</v>
      </c>
      <c r="O11" s="67">
        <v>25</v>
      </c>
    </row>
    <row r="12" spans="1:16" x14ac:dyDescent="0.25">
      <c r="A12" s="48" t="s">
        <v>35</v>
      </c>
      <c r="B12" s="54">
        <v>3338</v>
      </c>
      <c r="C12" s="54">
        <v>70</v>
      </c>
      <c r="D12" s="54">
        <v>15362</v>
      </c>
      <c r="E12" s="54">
        <v>11744</v>
      </c>
      <c r="F12" s="54">
        <v>7020</v>
      </c>
      <c r="G12" s="54">
        <v>183</v>
      </c>
      <c r="H12" s="54">
        <v>4313</v>
      </c>
      <c r="I12" s="54">
        <v>34</v>
      </c>
      <c r="J12" s="54">
        <v>3452</v>
      </c>
      <c r="K12" s="57">
        <v>7546</v>
      </c>
      <c r="L12" s="62">
        <v>280</v>
      </c>
      <c r="M12" s="54">
        <v>119</v>
      </c>
      <c r="N12" s="54">
        <v>25</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4.0250813939467021E-2</v>
      </c>
      <c r="C16" s="71">
        <f t="shared" ref="C16:O16" si="0">C12/C9</f>
        <v>2.1400183430143688E-2</v>
      </c>
      <c r="D16" s="71">
        <f t="shared" si="0"/>
        <v>0.12325887412542526</v>
      </c>
      <c r="E16" s="71">
        <f t="shared" si="0"/>
        <v>9.4150846587993844E-2</v>
      </c>
      <c r="F16" s="71">
        <f t="shared" si="0"/>
        <v>2.5638403552854554E-2</v>
      </c>
      <c r="G16" s="71">
        <f t="shared" si="0"/>
        <v>1.7876330956334865E-2</v>
      </c>
      <c r="H16" s="71">
        <f t="shared" si="0"/>
        <v>0.1029183668599518</v>
      </c>
      <c r="I16" s="71">
        <f t="shared" si="0"/>
        <v>6.0337178349600708E-3</v>
      </c>
      <c r="J16" s="71">
        <f t="shared" si="0"/>
        <v>6.1927058105950526E-2</v>
      </c>
      <c r="K16" s="71">
        <f t="shared" si="0"/>
        <v>0.1113685670853196</v>
      </c>
      <c r="L16" s="71">
        <f t="shared" si="0"/>
        <v>1.8069179143004648E-2</v>
      </c>
      <c r="M16" s="71">
        <f t="shared" si="0"/>
        <v>2.9470034670629024E-2</v>
      </c>
      <c r="N16" s="71">
        <f t="shared" si="0"/>
        <v>2.4366471734892786E-2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0.17348927875243664</v>
      </c>
      <c r="O19" s="72">
        <f>O10/O9</f>
        <v>0.24864864864864866</v>
      </c>
    </row>
    <row r="20" spans="1:15" x14ac:dyDescent="0.25">
      <c r="A20" s="48" t="s">
        <v>59</v>
      </c>
      <c r="B20" s="72">
        <v>0.05</v>
      </c>
      <c r="C20" s="72"/>
      <c r="D20" s="72">
        <v>0.1</v>
      </c>
      <c r="E20" s="72"/>
      <c r="F20" s="72"/>
      <c r="G20" s="72"/>
      <c r="H20" s="72"/>
      <c r="I20" s="72"/>
      <c r="J20" s="72"/>
      <c r="K20" s="72"/>
      <c r="L20" s="72"/>
      <c r="M20" s="72"/>
      <c r="N20" s="72">
        <f>N11/N9</f>
        <v>5.1656920077972707E-2</v>
      </c>
      <c r="O20" s="72">
        <f>O11/O9</f>
        <v>0.13513513513513514</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5.9834054834054831</v>
      </c>
      <c r="C24" s="66">
        <f t="shared" si="1"/>
        <v>2.579652996845426</v>
      </c>
      <c r="D24" s="66">
        <f t="shared" si="1"/>
        <v>206.07142857142856</v>
      </c>
      <c r="E24" s="66">
        <f t="shared" si="1"/>
        <v>267.32961851693102</v>
      </c>
      <c r="F24" s="66">
        <f t="shared" si="1"/>
        <v>83.682151589242054</v>
      </c>
      <c r="G24" s="66">
        <f t="shared" si="1"/>
        <v>19.889255877210026</v>
      </c>
      <c r="H24" s="66">
        <f t="shared" si="1"/>
        <v>63.074954846478022</v>
      </c>
      <c r="I24" s="66">
        <f t="shared" si="1"/>
        <v>22.90650406504065</v>
      </c>
      <c r="J24" s="66">
        <f t="shared" si="1"/>
        <v>68.682848693937899</v>
      </c>
      <c r="K24" s="66">
        <f t="shared" si="1"/>
        <v>101.14494700701597</v>
      </c>
      <c r="L24" s="66">
        <f t="shared" si="1"/>
        <v>41.223729715349826</v>
      </c>
      <c r="M24" s="66">
        <f t="shared" si="1"/>
        <v>27.545059843313769</v>
      </c>
      <c r="N24" s="66">
        <f>N9/$N$6*100000</f>
        <v>35.017064846416382</v>
      </c>
      <c r="O24" s="66">
        <f>O9/$O$6*100000</f>
        <v>33.471168207094259</v>
      </c>
    </row>
    <row r="25" spans="1:15" x14ac:dyDescent="0.25">
      <c r="A25" s="48" t="s">
        <v>34</v>
      </c>
      <c r="B25" s="65"/>
      <c r="C25" s="65"/>
      <c r="D25" s="65"/>
      <c r="E25" s="65"/>
      <c r="F25" s="65"/>
      <c r="G25" s="65"/>
      <c r="H25" s="65"/>
      <c r="I25" s="65"/>
      <c r="J25" s="65"/>
      <c r="K25" s="65"/>
      <c r="L25" s="65"/>
      <c r="M25" s="65"/>
      <c r="N25" s="66">
        <f>N10/$N$6*100000</f>
        <v>6.0750853242320817</v>
      </c>
      <c r="O25" s="66">
        <f>O10/$O$6*100000</f>
        <v>8.3225607433855995</v>
      </c>
    </row>
    <row r="26" spans="1:15" x14ac:dyDescent="0.25">
      <c r="A26" s="48" t="s">
        <v>35</v>
      </c>
      <c r="B26" s="66">
        <f>B12/B6*100000</f>
        <v>0.24083694083694085</v>
      </c>
      <c r="C26" s="66">
        <f t="shared" ref="C26:O26" si="2">C12/C6*100000</f>
        <v>5.5205047318611991E-2</v>
      </c>
      <c r="D26" s="66">
        <f t="shared" si="2"/>
        <v>25.400132275132275</v>
      </c>
      <c r="E26" s="66">
        <f t="shared" si="2"/>
        <v>25.169309901414486</v>
      </c>
      <c r="F26" s="66">
        <f t="shared" si="2"/>
        <v>2.1454767726161368</v>
      </c>
      <c r="G26" s="66">
        <f t="shared" si="2"/>
        <v>0.35554692053623466</v>
      </c>
      <c r="H26" s="66">
        <f t="shared" si="2"/>
        <v>6.4915713425647192</v>
      </c>
      <c r="I26" s="66">
        <f t="shared" si="2"/>
        <v>0.13821138211382114</v>
      </c>
      <c r="J26" s="66">
        <f t="shared" si="2"/>
        <v>4.2533267619517003</v>
      </c>
      <c r="K26" s="66">
        <f t="shared" si="2"/>
        <v>11.264367816091953</v>
      </c>
      <c r="L26" s="66">
        <f t="shared" si="2"/>
        <v>0.74487895716945995</v>
      </c>
      <c r="M26" s="66">
        <f t="shared" si="2"/>
        <v>0.81175386858700793</v>
      </c>
      <c r="N26" s="66">
        <f t="shared" si="2"/>
        <v>0.85324232081911267</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2249.1621212121208</v>
      </c>
      <c r="C32" s="7">
        <f t="shared" si="3"/>
        <v>969.69156151419566</v>
      </c>
      <c r="D32" s="7">
        <f t="shared" si="3"/>
        <v>77462.249999999985</v>
      </c>
      <c r="E32" s="7">
        <f t="shared" si="3"/>
        <v>100489.20360051437</v>
      </c>
      <c r="F32" s="7">
        <f t="shared" si="3"/>
        <v>31456.120782396087</v>
      </c>
      <c r="G32" s="7">
        <f t="shared" si="3"/>
        <v>7476.3712842432487</v>
      </c>
      <c r="H32" s="7">
        <f t="shared" si="3"/>
        <v>23709.875526791086</v>
      </c>
      <c r="I32" s="7">
        <f t="shared" si="3"/>
        <v>8610.5548780487807</v>
      </c>
      <c r="J32" s="7">
        <f t="shared" si="3"/>
        <v>25817.882824051256</v>
      </c>
      <c r="K32" s="7">
        <f t="shared" si="3"/>
        <v>38020.385579937305</v>
      </c>
      <c r="L32" s="7">
        <f t="shared" si="3"/>
        <v>15496</v>
      </c>
      <c r="M32" s="7">
        <f t="shared" si="3"/>
        <v>10354.187995101645</v>
      </c>
      <c r="N32" s="7">
        <f t="shared" si="3"/>
        <v>13162.914675767917</v>
      </c>
      <c r="O32" s="7">
        <f t="shared" si="3"/>
        <v>12581.812129046732</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90.530606060606075</v>
      </c>
      <c r="C34" s="7">
        <f t="shared" si="4"/>
        <v>20.751577287066247</v>
      </c>
      <c r="D34" s="7">
        <f t="shared" si="4"/>
        <v>9547.9097222222226</v>
      </c>
      <c r="E34" s="7">
        <f t="shared" si="4"/>
        <v>9461.1435919417054</v>
      </c>
      <c r="F34" s="7">
        <f t="shared" si="4"/>
        <v>806.48471882640581</v>
      </c>
      <c r="G34" s="7">
        <f t="shared" si="4"/>
        <v>133.65008742957062</v>
      </c>
      <c r="H34" s="7">
        <f t="shared" si="4"/>
        <v>2440.1816676700778</v>
      </c>
      <c r="I34" s="7">
        <f t="shared" si="4"/>
        <v>51.953658536585365</v>
      </c>
      <c r="J34" s="7">
        <f t="shared" si="4"/>
        <v>1598.8255298176441</v>
      </c>
      <c r="K34" s="7">
        <f t="shared" si="4"/>
        <v>4234.2758620689656</v>
      </c>
      <c r="L34" s="7">
        <f t="shared" si="4"/>
        <v>280</v>
      </c>
      <c r="M34" s="7">
        <f t="shared" si="4"/>
        <v>305.13827920185628</v>
      </c>
      <c r="N34" s="7">
        <f t="shared" si="4"/>
        <v>320.73378839590447</v>
      </c>
      <c r="O34" s="7">
        <f t="shared" si="4"/>
        <v>0</v>
      </c>
    </row>
    <row r="35" spans="1:15" hidden="1" x14ac:dyDescent="0.25"/>
    <row r="36" spans="1:15" hidden="1" x14ac:dyDescent="0.25">
      <c r="A36" t="s">
        <v>48</v>
      </c>
      <c r="B36" t="s">
        <v>75</v>
      </c>
    </row>
    <row r="37" spans="1:15" hidden="1" x14ac:dyDescent="0.25">
      <c r="A37" t="s">
        <v>50</v>
      </c>
      <c r="B37" s="7">
        <f>MIN($B$32:$M$32)</f>
        <v>969.69156151419566</v>
      </c>
      <c r="C37" s="7"/>
    </row>
    <row r="38" spans="1:15" hidden="1" x14ac:dyDescent="0.25">
      <c r="A38" t="s">
        <v>51</v>
      </c>
      <c r="B38" s="7">
        <f>MAX(B32:M32)</f>
        <v>100489.20360051437</v>
      </c>
      <c r="C38">
        <f>B38*1.6%</f>
        <v>1607.82725760823</v>
      </c>
      <c r="D38" t="s">
        <v>78</v>
      </c>
    </row>
    <row r="39" spans="1:15" hidden="1" x14ac:dyDescent="0.25"/>
    <row r="40" spans="1:15" hidden="1" x14ac:dyDescent="0.25">
      <c r="A40" t="s">
        <v>49</v>
      </c>
    </row>
    <row r="41" spans="1:15" hidden="1" x14ac:dyDescent="0.25">
      <c r="A41" t="s">
        <v>50</v>
      </c>
      <c r="B41" s="7">
        <f>MIN(B34:M34)</f>
        <v>20.751577287066247</v>
      </c>
    </row>
    <row r="42" spans="1:15" hidden="1" x14ac:dyDescent="0.25">
      <c r="A42" t="s">
        <v>51</v>
      </c>
      <c r="B42" s="7">
        <f>MAX($B$34:$M$34)</f>
        <v>9547.9097222222226</v>
      </c>
      <c r="C42">
        <f>B42*1.6%</f>
        <v>152.76655555555556</v>
      </c>
      <c r="D42" t="s">
        <v>78</v>
      </c>
    </row>
    <row r="43" spans="1:15" hidden="1" x14ac:dyDescent="0.25">
      <c r="B43" s="7"/>
    </row>
    <row r="44" spans="1:15" hidden="1" x14ac:dyDescent="0.25">
      <c r="A44" t="s">
        <v>63</v>
      </c>
      <c r="B44" s="7" t="s">
        <v>65</v>
      </c>
      <c r="C44" t="s">
        <v>66</v>
      </c>
    </row>
    <row r="45" spans="1:15" hidden="1" x14ac:dyDescent="0.25">
      <c r="A45" t="s">
        <v>50</v>
      </c>
      <c r="B45" s="7">
        <f>B19*L9</f>
        <v>2324.4</v>
      </c>
      <c r="C45" s="7">
        <f>B37*B19</f>
        <v>145.45373422712933</v>
      </c>
    </row>
    <row r="46" spans="1:15" hidden="1" x14ac:dyDescent="0.25">
      <c r="A46" t="s">
        <v>51</v>
      </c>
      <c r="B46" s="7">
        <f>L9*D19</f>
        <v>8677.76</v>
      </c>
      <c r="C46" s="7">
        <f>B38*D19</f>
        <v>56273.954016288058</v>
      </c>
      <c r="D46">
        <f>C46*1.6%</f>
        <v>900.38326426060894</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1549.6000000000001</v>
      </c>
      <c r="C50" s="7">
        <f>B38*D20</f>
        <v>10048.920360051437</v>
      </c>
      <c r="D50">
        <f>C50*1.6%</f>
        <v>160.78272576082301</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877.1442675901875</v>
      </c>
      <c r="C55" s="7">
        <f t="shared" si="5"/>
        <v>378.16722347003156</v>
      </c>
      <c r="D55" s="7">
        <f t="shared" si="5"/>
        <v>30209.280114285713</v>
      </c>
      <c r="E55" s="7">
        <f t="shared" si="5"/>
        <v>39189.495528846986</v>
      </c>
      <c r="F55" s="7">
        <f t="shared" si="5"/>
        <v>12267.482083520781</v>
      </c>
      <c r="G55" s="7">
        <f t="shared" si="5"/>
        <v>2915.6885368564213</v>
      </c>
      <c r="H55" s="7">
        <f t="shared" si="5"/>
        <v>9246.5461726670674</v>
      </c>
      <c r="I55" s="7">
        <f t="shared" si="5"/>
        <v>3358.0055349593495</v>
      </c>
      <c r="J55" s="7">
        <f t="shared" si="5"/>
        <v>10068.64187639231</v>
      </c>
      <c r="K55" s="7">
        <f t="shared" si="5"/>
        <v>14827.460834632035</v>
      </c>
      <c r="L55" s="7">
        <f t="shared" si="5"/>
        <v>6043.2404771481779</v>
      </c>
      <c r="M55" s="7">
        <f t="shared" si="5"/>
        <v>4038</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35.305770712842715</v>
      </c>
      <c r="C57" s="7">
        <f t="shared" si="6"/>
        <v>8.0928479495268135</v>
      </c>
      <c r="D57" s="7">
        <f t="shared" si="6"/>
        <v>3723.5618550264549</v>
      </c>
      <c r="E57" s="7">
        <f t="shared" si="6"/>
        <v>3689.7241813973419</v>
      </c>
      <c r="F57" s="7">
        <f t="shared" si="6"/>
        <v>314.51865623471883</v>
      </c>
      <c r="G57" s="7">
        <f t="shared" si="6"/>
        <v>52.121813250437143</v>
      </c>
      <c r="H57" s="7">
        <f t="shared" si="6"/>
        <v>951.63943118603243</v>
      </c>
      <c r="I57" s="7">
        <f t="shared" si="6"/>
        <v>20.261257886178861</v>
      </c>
      <c r="J57" s="7">
        <f t="shared" si="6"/>
        <v>623.52137052735338</v>
      </c>
      <c r="K57" s="7">
        <f t="shared" si="6"/>
        <v>1651.3130666666666</v>
      </c>
      <c r="L57" s="7">
        <f t="shared" si="6"/>
        <v>109.19639478584729</v>
      </c>
      <c r="M57" s="7">
        <f t="shared" si="6"/>
        <v>118.99999999999999</v>
      </c>
      <c r="N57" s="7"/>
    </row>
    <row r="58" spans="1:14" hidden="1" x14ac:dyDescent="0.25"/>
    <row r="59" spans="1:14" hidden="1" x14ac:dyDescent="0.25">
      <c r="A59" t="s">
        <v>48</v>
      </c>
    </row>
    <row r="60" spans="1:14" hidden="1" x14ac:dyDescent="0.25">
      <c r="A60" t="s">
        <v>50</v>
      </c>
      <c r="B60" s="7">
        <f>MIN($B$55:$M$55)</f>
        <v>378.16722347003156</v>
      </c>
    </row>
    <row r="61" spans="1:14" hidden="1" x14ac:dyDescent="0.25">
      <c r="A61" t="s">
        <v>51</v>
      </c>
      <c r="B61" s="7">
        <f>MAX($B$55:$M$55)</f>
        <v>39189.495528846986</v>
      </c>
    </row>
    <row r="62" spans="1:14" hidden="1" x14ac:dyDescent="0.25"/>
    <row r="63" spans="1:14" hidden="1" x14ac:dyDescent="0.25">
      <c r="A63" t="s">
        <v>49</v>
      </c>
    </row>
    <row r="64" spans="1:14" hidden="1" x14ac:dyDescent="0.25">
      <c r="A64" t="s">
        <v>50</v>
      </c>
      <c r="B64" s="7">
        <f>MIN($B$57:$M$57)</f>
        <v>8.0928479495268135</v>
      </c>
    </row>
    <row r="65" spans="1:14" hidden="1" x14ac:dyDescent="0.25">
      <c r="A65" t="s">
        <v>51</v>
      </c>
      <c r="B65" s="7">
        <f>MAX($B$57:$M$57)</f>
        <v>3723.5618550264549</v>
      </c>
    </row>
    <row r="66" spans="1:14" hidden="1" x14ac:dyDescent="0.25">
      <c r="B66" s="7"/>
    </row>
    <row r="67" spans="1:14" hidden="1" x14ac:dyDescent="0.25">
      <c r="A67" t="s">
        <v>63</v>
      </c>
      <c r="B67" s="7" t="s">
        <v>77</v>
      </c>
      <c r="C67" t="s">
        <v>76</v>
      </c>
    </row>
    <row r="68" spans="1:14" hidden="1" x14ac:dyDescent="0.25">
      <c r="A68" t="s">
        <v>50</v>
      </c>
      <c r="B68" s="7">
        <f>B19*M9</f>
        <v>605.69999999999993</v>
      </c>
    </row>
    <row r="69" spans="1:14" hidden="1" x14ac:dyDescent="0.25">
      <c r="A69" t="s">
        <v>51</v>
      </c>
      <c r="B69" s="7">
        <f>D19*M9</f>
        <v>2261.2800000000002</v>
      </c>
      <c r="C69" s="7">
        <f>B61*D19</f>
        <v>21946.117496154315</v>
      </c>
    </row>
    <row r="70" spans="1:14" hidden="1" x14ac:dyDescent="0.25">
      <c r="B70" s="7"/>
    </row>
    <row r="71" spans="1:14" hidden="1" x14ac:dyDescent="0.25">
      <c r="A71" t="s">
        <v>64</v>
      </c>
      <c r="B71" s="7" t="s">
        <v>77</v>
      </c>
      <c r="C71" t="s">
        <v>76</v>
      </c>
    </row>
    <row r="72" spans="1:14" hidden="1" x14ac:dyDescent="0.25">
      <c r="A72" t="s">
        <v>50</v>
      </c>
      <c r="B72" s="7">
        <f>B20*M9</f>
        <v>201.9</v>
      </c>
    </row>
    <row r="73" spans="1:14" hidden="1" x14ac:dyDescent="0.25">
      <c r="A73" t="s">
        <v>51</v>
      </c>
      <c r="B73">
        <f>D20*M9</f>
        <v>403.8</v>
      </c>
      <c r="C73" s="7">
        <f>B61*D20</f>
        <v>3918.9495528846987</v>
      </c>
    </row>
    <row r="75" spans="1:14" x14ac:dyDescent="0.25">
      <c r="A75" s="10" t="s">
        <v>52</v>
      </c>
    </row>
    <row r="77" spans="1:14" x14ac:dyDescent="0.25">
      <c r="A77" s="48" t="s">
        <v>48</v>
      </c>
      <c r="B77" s="43">
        <f t="shared" ref="B77:M77" si="7">B24*$O$6/100000</f>
        <v>33.071149700577202</v>
      </c>
      <c r="C77" s="43">
        <f t="shared" si="7"/>
        <v>14.258116163249211</v>
      </c>
      <c r="D77" s="43">
        <f t="shared" si="7"/>
        <v>1138.9866660714285</v>
      </c>
      <c r="E77" s="43">
        <f t="shared" si="7"/>
        <v>1477.5695643377626</v>
      </c>
      <c r="F77" s="43">
        <f t="shared" si="7"/>
        <v>462.52338574572121</v>
      </c>
      <c r="G77" s="43">
        <f t="shared" si="7"/>
        <v>109.930801175442</v>
      </c>
      <c r="H77" s="43">
        <f t="shared" si="7"/>
        <v>348.62442130493679</v>
      </c>
      <c r="I77" s="43">
        <f t="shared" si="7"/>
        <v>126.60756941056911</v>
      </c>
      <c r="J77" s="43">
        <f t="shared" si="7"/>
        <v>379.62006374445536</v>
      </c>
      <c r="K77" s="43">
        <f t="shared" si="7"/>
        <v>559.04278812509324</v>
      </c>
      <c r="L77" s="43">
        <f t="shared" si="7"/>
        <v>227.84953157754722</v>
      </c>
      <c r="M77" s="43">
        <f t="shared" si="7"/>
        <v>152.24553978767247</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1.3311406933621934</v>
      </c>
      <c r="C79" s="43">
        <f t="shared" si="8"/>
        <v>0.30512630126182966</v>
      </c>
      <c r="D79" s="43">
        <f t="shared" si="8"/>
        <v>140.390214103836</v>
      </c>
      <c r="E79" s="43">
        <f t="shared" si="8"/>
        <v>139.11442537505357</v>
      </c>
      <c r="F79" s="43">
        <f t="shared" si="8"/>
        <v>11.858361216381418</v>
      </c>
      <c r="G79" s="43">
        <f t="shared" si="8"/>
        <v>1.9651593841072466</v>
      </c>
      <c r="H79" s="43">
        <f t="shared" si="8"/>
        <v>35.87985608819988</v>
      </c>
      <c r="I79" s="43">
        <f t="shared" si="8"/>
        <v>0.76391434959349602</v>
      </c>
      <c r="J79" s="43">
        <f t="shared" si="8"/>
        <v>23.508753745687528</v>
      </c>
      <c r="K79" s="43">
        <f t="shared" si="8"/>
        <v>62.259794252873554</v>
      </c>
      <c r="L79" s="43">
        <f t="shared" si="8"/>
        <v>4.1170540037243946</v>
      </c>
      <c r="M79" s="43">
        <f t="shared" si="8"/>
        <v>4.4866813359913378</v>
      </c>
      <c r="N79" s="7"/>
    </row>
    <row r="81" spans="1:3" x14ac:dyDescent="0.25">
      <c r="A81" s="65" t="s">
        <v>48</v>
      </c>
      <c r="B81" s="65" t="s">
        <v>72</v>
      </c>
      <c r="C81" s="65" t="s">
        <v>73</v>
      </c>
    </row>
    <row r="82" spans="1:3" x14ac:dyDescent="0.25">
      <c r="A82" s="65" t="s">
        <v>50</v>
      </c>
      <c r="B82" s="66">
        <f>MIN($B$77:$M$77)</f>
        <v>14.258116163249211</v>
      </c>
      <c r="C82" s="66">
        <f>MIN($C$77:$M$77)</f>
        <v>14.258116163249211</v>
      </c>
    </row>
    <row r="83" spans="1:3" x14ac:dyDescent="0.25">
      <c r="A83" s="65" t="s">
        <v>51</v>
      </c>
      <c r="B83" s="66">
        <f>MAX($B$77:$M$77)</f>
        <v>1477.5695643377626</v>
      </c>
      <c r="C83" s="66">
        <f>MAX($C$77:$M$77)</f>
        <v>1477.5695643377626</v>
      </c>
    </row>
    <row r="84" spans="1:3" x14ac:dyDescent="0.25">
      <c r="A84" s="65"/>
      <c r="B84" s="65"/>
      <c r="C84" s="65"/>
    </row>
    <row r="85" spans="1:3" x14ac:dyDescent="0.25">
      <c r="A85" s="65" t="s">
        <v>49</v>
      </c>
      <c r="B85" s="65"/>
      <c r="C85" s="65"/>
    </row>
    <row r="86" spans="1:3" x14ac:dyDescent="0.25">
      <c r="A86" s="65" t="s">
        <v>50</v>
      </c>
      <c r="B86" s="66">
        <f>MIN($B$79:$M$79)</f>
        <v>0.30512630126182966</v>
      </c>
      <c r="C86" s="66">
        <f>MIN($C$79:$M$79)</f>
        <v>0.30512630126182966</v>
      </c>
    </row>
    <row r="87" spans="1:3" x14ac:dyDescent="0.25">
      <c r="A87" s="65" t="s">
        <v>51</v>
      </c>
      <c r="B87" s="66">
        <f>MAX($B$79:$M$79)</f>
        <v>140.390214103836</v>
      </c>
      <c r="C87" s="66">
        <f>MAX($C$79:$M$79)</f>
        <v>140.390214103836</v>
      </c>
    </row>
    <row r="88" spans="1:3" x14ac:dyDescent="0.25">
      <c r="A88" s="65"/>
      <c r="B88" s="65"/>
      <c r="C88" s="65"/>
    </row>
    <row r="89" spans="1:3" x14ac:dyDescent="0.25">
      <c r="A89" s="65" t="s">
        <v>27</v>
      </c>
      <c r="B89" s="65"/>
      <c r="C89" s="65"/>
    </row>
    <row r="90" spans="1:3" x14ac:dyDescent="0.25">
      <c r="A90" s="65" t="s">
        <v>50</v>
      </c>
      <c r="B90" s="66">
        <f>B82*$D$19</f>
        <v>7.9845450514195591</v>
      </c>
      <c r="C90" s="66">
        <f>C82*$D$19</f>
        <v>7.9845450514195591</v>
      </c>
    </row>
    <row r="91" spans="1:3" x14ac:dyDescent="0.25">
      <c r="A91" s="65" t="s">
        <v>51</v>
      </c>
      <c r="B91" s="66">
        <f>B83*$D$19</f>
        <v>827.43895602914711</v>
      </c>
      <c r="C91" s="66">
        <f>C83*$D$19</f>
        <v>827.43895602914711</v>
      </c>
    </row>
    <row r="92" spans="1:3" x14ac:dyDescent="0.25">
      <c r="A92" s="65"/>
      <c r="B92" s="66"/>
      <c r="C92" s="65"/>
    </row>
    <row r="93" spans="1:3" x14ac:dyDescent="0.25">
      <c r="A93" s="65" t="s">
        <v>62</v>
      </c>
      <c r="B93" s="66"/>
      <c r="C93" s="65"/>
    </row>
    <row r="94" spans="1:3" x14ac:dyDescent="0.25">
      <c r="A94" s="65" t="s">
        <v>50</v>
      </c>
      <c r="B94" s="66">
        <f>B82*$D$20</f>
        <v>1.4258116163249213</v>
      </c>
      <c r="C94" s="66">
        <f>C82*$D$20</f>
        <v>1.4258116163249213</v>
      </c>
    </row>
    <row r="95" spans="1:3" x14ac:dyDescent="0.25">
      <c r="A95" s="65" t="s">
        <v>51</v>
      </c>
      <c r="B95" s="66">
        <f>B83*$D$20</f>
        <v>147.75695643377625</v>
      </c>
      <c r="C95" s="66">
        <f>C83*$D$20</f>
        <v>147.75695643377625</v>
      </c>
    </row>
  </sheetData>
  <hyperlinks>
    <hyperlink ref="D18" r:id="rId1" xr:uid="{72436BF3-C626-4DF1-BBED-4DDBD85672C4}"/>
    <hyperlink ref="B18" r:id="rId2" xr:uid="{84D4560E-CD7E-4DD3-BF60-5A7685F60BD2}"/>
    <hyperlink ref="B1" r:id="rId3" xr:uid="{47E364BF-A7CA-44DC-9ED9-575581695CE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B456E-3424-42E4-9F12-EBE7C18A57CD}">
  <dimension ref="A1:P95"/>
  <sheetViews>
    <sheetView topLeftCell="K1" zoomScale="110" zoomScaleNormal="110" workbookViewId="0">
      <selection activeCell="O9" sqref="O9"/>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43926</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142</v>
      </c>
      <c r="C4" s="54">
        <v>82</v>
      </c>
      <c r="D4" s="54">
        <v>67</v>
      </c>
      <c r="E4" s="54">
        <v>67</v>
      </c>
      <c r="F4" s="54">
        <v>77</v>
      </c>
      <c r="G4" s="54">
        <v>77</v>
      </c>
      <c r="H4" s="54">
        <v>67</v>
      </c>
      <c r="I4" s="54">
        <v>73</v>
      </c>
      <c r="J4" s="54">
        <v>48</v>
      </c>
      <c r="K4" s="57">
        <v>48</v>
      </c>
      <c r="L4" s="62">
        <v>73</v>
      </c>
      <c r="M4" s="54">
        <v>73</v>
      </c>
      <c r="N4" s="54">
        <v>73</v>
      </c>
      <c r="O4" s="67">
        <v>33</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83005</v>
      </c>
      <c r="C9" s="54">
        <v>3654</v>
      </c>
      <c r="D9" s="54">
        <v>128948</v>
      </c>
      <c r="E9" s="54">
        <v>130759</v>
      </c>
      <c r="F9" s="54">
        <v>307318</v>
      </c>
      <c r="G9" s="54">
        <v>10284</v>
      </c>
      <c r="H9" s="54">
        <v>41907</v>
      </c>
      <c r="I9" s="54">
        <v>5744</v>
      </c>
      <c r="J9" s="54">
        <v>58226</v>
      </c>
      <c r="K9" s="57">
        <v>69607</v>
      </c>
      <c r="L9" s="62">
        <v>16653</v>
      </c>
      <c r="M9" s="54">
        <v>4038</v>
      </c>
      <c r="N9" s="54">
        <v>1301</v>
      </c>
      <c r="O9" s="67">
        <v>185</v>
      </c>
      <c r="P9" s="1"/>
    </row>
    <row r="10" spans="1:16" x14ac:dyDescent="0.25">
      <c r="A10" s="48" t="s">
        <v>34</v>
      </c>
      <c r="B10" s="54"/>
      <c r="C10" s="54"/>
      <c r="D10" s="54"/>
      <c r="E10" s="54"/>
      <c r="F10" s="54"/>
      <c r="G10" s="54"/>
      <c r="H10" s="54"/>
      <c r="I10" s="54"/>
      <c r="J10" s="54"/>
      <c r="K10" s="57"/>
      <c r="L10" s="62"/>
      <c r="M10" s="54"/>
      <c r="N10" s="54">
        <v>145</v>
      </c>
      <c r="O10" s="67">
        <v>46</v>
      </c>
    </row>
    <row r="11" spans="1:16" x14ac:dyDescent="0.25">
      <c r="A11" s="48" t="s">
        <v>123</v>
      </c>
      <c r="B11" s="54"/>
      <c r="C11" s="54"/>
      <c r="D11" s="54"/>
      <c r="E11" s="54"/>
      <c r="F11" s="54"/>
      <c r="G11" s="54"/>
      <c r="H11" s="54"/>
      <c r="I11" s="54"/>
      <c r="J11" s="54"/>
      <c r="K11" s="57"/>
      <c r="L11" s="62"/>
      <c r="M11" s="54"/>
      <c r="N11" s="54">
        <v>60</v>
      </c>
      <c r="O11" s="67">
        <v>25</v>
      </c>
    </row>
    <row r="12" spans="1:16" x14ac:dyDescent="0.25">
      <c r="A12" s="48" t="s">
        <v>35</v>
      </c>
      <c r="B12" s="54">
        <v>3340</v>
      </c>
      <c r="C12" s="54">
        <v>73</v>
      </c>
      <c r="D12" s="54">
        <v>15889</v>
      </c>
      <c r="E12" s="54">
        <v>12418</v>
      </c>
      <c r="F12" s="54">
        <v>8358</v>
      </c>
      <c r="G12" s="54">
        <v>186</v>
      </c>
      <c r="H12" s="54">
        <v>4313</v>
      </c>
      <c r="I12" s="54">
        <v>36</v>
      </c>
      <c r="J12" s="54">
        <v>3603</v>
      </c>
      <c r="K12" s="57">
        <v>8064</v>
      </c>
      <c r="L12" s="62">
        <v>323</v>
      </c>
      <c r="M12" s="54">
        <v>132</v>
      </c>
      <c r="N12" s="54">
        <v>32</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4.0238539846997171E-2</v>
      </c>
      <c r="C16" s="71">
        <f t="shared" ref="C16:O16" si="0">C12/C9</f>
        <v>1.9978106185002738E-2</v>
      </c>
      <c r="D16" s="71">
        <f t="shared" si="0"/>
        <v>0.12322021279895772</v>
      </c>
      <c r="E16" s="71">
        <f t="shared" si="0"/>
        <v>9.496860636743934E-2</v>
      </c>
      <c r="F16" s="71">
        <f t="shared" si="0"/>
        <v>2.7196584645220911E-2</v>
      </c>
      <c r="G16" s="71">
        <f t="shared" si="0"/>
        <v>1.8086347724620769E-2</v>
      </c>
      <c r="H16" s="71">
        <f t="shared" si="0"/>
        <v>0.1029183668599518</v>
      </c>
      <c r="I16" s="71">
        <f t="shared" si="0"/>
        <v>6.267409470752089E-3</v>
      </c>
      <c r="J16" s="71">
        <f t="shared" si="0"/>
        <v>6.1879572699481335E-2</v>
      </c>
      <c r="K16" s="71">
        <f t="shared" si="0"/>
        <v>0.11585041734308331</v>
      </c>
      <c r="L16" s="71">
        <f t="shared" si="0"/>
        <v>1.939590464180628E-2</v>
      </c>
      <c r="M16" s="71">
        <f t="shared" si="0"/>
        <v>3.2689450222882617E-2</v>
      </c>
      <c r="N16" s="71">
        <f t="shared" si="0"/>
        <v>2.4596464258262875E-2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0.11145272867025365</v>
      </c>
      <c r="O19" s="72">
        <f>O10/O9</f>
        <v>0.24864864864864866</v>
      </c>
    </row>
    <row r="20" spans="1:15" x14ac:dyDescent="0.25">
      <c r="A20" s="48" t="s">
        <v>59</v>
      </c>
      <c r="B20" s="72">
        <v>0.05</v>
      </c>
      <c r="C20" s="72"/>
      <c r="D20" s="72">
        <v>0.1</v>
      </c>
      <c r="E20" s="72"/>
      <c r="F20" s="72"/>
      <c r="G20" s="72"/>
      <c r="H20" s="72"/>
      <c r="I20" s="72"/>
      <c r="J20" s="72"/>
      <c r="K20" s="72"/>
      <c r="L20" s="72"/>
      <c r="M20" s="72"/>
      <c r="N20" s="72">
        <f>N11/N9</f>
        <v>4.6118370484242888E-2</v>
      </c>
      <c r="O20" s="72">
        <f>O11/O9</f>
        <v>0.13513513513513514</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5.9888167388167384</v>
      </c>
      <c r="C24" s="66">
        <f t="shared" si="1"/>
        <v>2.881703470031546</v>
      </c>
      <c r="D24" s="66">
        <f t="shared" si="1"/>
        <v>213.20767195767195</v>
      </c>
      <c r="E24" s="66">
        <f t="shared" si="1"/>
        <v>280.2378911273039</v>
      </c>
      <c r="F24" s="66">
        <f t="shared" si="1"/>
        <v>93.923594132029336</v>
      </c>
      <c r="G24" s="66">
        <f t="shared" si="1"/>
        <v>19.980571206528072</v>
      </c>
      <c r="H24" s="66">
        <f t="shared" si="1"/>
        <v>63.074954846478022</v>
      </c>
      <c r="I24" s="66">
        <f t="shared" si="1"/>
        <v>23.349593495934958</v>
      </c>
      <c r="J24" s="66">
        <f t="shared" si="1"/>
        <v>71.742237555446039</v>
      </c>
      <c r="K24" s="66">
        <f t="shared" si="1"/>
        <v>103.90655321689803</v>
      </c>
      <c r="L24" s="66">
        <f t="shared" si="1"/>
        <v>44.30167597765363</v>
      </c>
      <c r="M24" s="66">
        <f t="shared" si="1"/>
        <v>27.545059843313769</v>
      </c>
      <c r="N24" s="66">
        <f>N9/$N$6*100000</f>
        <v>44.402730375426621</v>
      </c>
      <c r="O24" s="66">
        <f>O9/$O$6*100000</f>
        <v>33.471168207094259</v>
      </c>
    </row>
    <row r="25" spans="1:15" x14ac:dyDescent="0.25">
      <c r="A25" s="48" t="s">
        <v>34</v>
      </c>
      <c r="B25" s="65"/>
      <c r="C25" s="65"/>
      <c r="D25" s="65"/>
      <c r="E25" s="65"/>
      <c r="F25" s="65"/>
      <c r="G25" s="65"/>
      <c r="H25" s="65"/>
      <c r="I25" s="65"/>
      <c r="J25" s="65"/>
      <c r="K25" s="65"/>
      <c r="L25" s="65"/>
      <c r="M25" s="65"/>
      <c r="N25" s="66">
        <f>N10/$N$6*100000</f>
        <v>4.9488054607508536</v>
      </c>
      <c r="O25" s="66">
        <f>O10/$O$6*100000</f>
        <v>8.3225607433855995</v>
      </c>
    </row>
    <row r="26" spans="1:15" x14ac:dyDescent="0.25">
      <c r="A26" s="48" t="s">
        <v>35</v>
      </c>
      <c r="B26" s="66">
        <f>B12/B6*100000</f>
        <v>0.24098124098124099</v>
      </c>
      <c r="C26" s="66">
        <f t="shared" ref="C26:O26" si="2">C12/C6*100000</f>
        <v>5.7570977917981075E-2</v>
      </c>
      <c r="D26" s="66">
        <f t="shared" si="2"/>
        <v>26.271494708994709</v>
      </c>
      <c r="E26" s="66">
        <f t="shared" si="2"/>
        <v>26.613801971710242</v>
      </c>
      <c r="F26" s="66">
        <f t="shared" si="2"/>
        <v>2.55440097799511</v>
      </c>
      <c r="G26" s="66">
        <f t="shared" si="2"/>
        <v>0.36137555857781234</v>
      </c>
      <c r="H26" s="66">
        <f t="shared" si="2"/>
        <v>6.4915713425647192</v>
      </c>
      <c r="I26" s="66">
        <f t="shared" si="2"/>
        <v>0.14634146341463414</v>
      </c>
      <c r="J26" s="66">
        <f t="shared" si="2"/>
        <v>4.4393790044356827</v>
      </c>
      <c r="K26" s="66">
        <f t="shared" si="2"/>
        <v>12.037617554858933</v>
      </c>
      <c r="L26" s="66">
        <f t="shared" si="2"/>
        <v>0.85927108273476993</v>
      </c>
      <c r="M26" s="66">
        <f t="shared" si="2"/>
        <v>0.90043286263432831</v>
      </c>
      <c r="N26" s="66">
        <f t="shared" si="2"/>
        <v>1.0921501706484642</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2251.1962121212118</v>
      </c>
      <c r="C32" s="7">
        <f t="shared" si="3"/>
        <v>1083.2323343848582</v>
      </c>
      <c r="D32" s="7">
        <f t="shared" si="3"/>
        <v>80144.763888888891</v>
      </c>
      <c r="E32" s="7">
        <f t="shared" si="3"/>
        <v>105341.42327475353</v>
      </c>
      <c r="F32" s="7">
        <f t="shared" si="3"/>
        <v>35305.879034229823</v>
      </c>
      <c r="G32" s="7">
        <f t="shared" si="3"/>
        <v>7510.6967165339029</v>
      </c>
      <c r="H32" s="7">
        <f t="shared" si="3"/>
        <v>23709.875526791086</v>
      </c>
      <c r="I32" s="7">
        <f t="shared" si="3"/>
        <v>8777.1121951219502</v>
      </c>
      <c r="J32" s="7">
        <f t="shared" si="3"/>
        <v>26967.907097092168</v>
      </c>
      <c r="K32" s="7">
        <f t="shared" si="3"/>
        <v>39058.473354231974</v>
      </c>
      <c r="L32" s="7">
        <f t="shared" si="3"/>
        <v>16653</v>
      </c>
      <c r="M32" s="7">
        <f t="shared" si="3"/>
        <v>10354.187995101645</v>
      </c>
      <c r="N32" s="7">
        <f t="shared" si="3"/>
        <v>16690.986348122868</v>
      </c>
      <c r="O32" s="7">
        <f t="shared" si="3"/>
        <v>12581.812129046732</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90.584848484848493</v>
      </c>
      <c r="C34" s="7">
        <f t="shared" si="4"/>
        <v>21.640930599369085</v>
      </c>
      <c r="D34" s="7">
        <f t="shared" si="4"/>
        <v>9875.4548611111113</v>
      </c>
      <c r="E34" s="7">
        <f t="shared" si="4"/>
        <v>10004.12816116588</v>
      </c>
      <c r="F34" s="7">
        <f t="shared" si="4"/>
        <v>960.19932762836186</v>
      </c>
      <c r="G34" s="7">
        <f t="shared" si="4"/>
        <v>135.84107246939968</v>
      </c>
      <c r="H34" s="7">
        <f t="shared" si="4"/>
        <v>2440.1816676700778</v>
      </c>
      <c r="I34" s="7">
        <f t="shared" si="4"/>
        <v>55.009756097560974</v>
      </c>
      <c r="J34" s="7">
        <f t="shared" si="4"/>
        <v>1668.762567767373</v>
      </c>
      <c r="K34" s="7">
        <f t="shared" si="4"/>
        <v>4524.9404388714729</v>
      </c>
      <c r="L34" s="7">
        <f t="shared" si="4"/>
        <v>323</v>
      </c>
      <c r="M34" s="7">
        <f t="shared" si="4"/>
        <v>338.47271306424403</v>
      </c>
      <c r="N34" s="7">
        <f t="shared" si="4"/>
        <v>410.5392491467577</v>
      </c>
      <c r="O34" s="7">
        <f t="shared" si="4"/>
        <v>0</v>
      </c>
    </row>
    <row r="35" spans="1:15" hidden="1" x14ac:dyDescent="0.25"/>
    <row r="36" spans="1:15" hidden="1" x14ac:dyDescent="0.25">
      <c r="A36" t="s">
        <v>48</v>
      </c>
      <c r="B36" t="s">
        <v>75</v>
      </c>
    </row>
    <row r="37" spans="1:15" hidden="1" x14ac:dyDescent="0.25">
      <c r="A37" t="s">
        <v>50</v>
      </c>
      <c r="B37" s="7">
        <f>MIN($B$32:$M$32)</f>
        <v>1083.2323343848582</v>
      </c>
      <c r="C37" s="7"/>
    </row>
    <row r="38" spans="1:15" hidden="1" x14ac:dyDescent="0.25">
      <c r="A38" t="s">
        <v>51</v>
      </c>
      <c r="B38" s="7">
        <f>MAX(B32:M32)</f>
        <v>105341.42327475353</v>
      </c>
      <c r="C38">
        <f>B38*1.6%</f>
        <v>1685.4627723960564</v>
      </c>
      <c r="D38" t="s">
        <v>78</v>
      </c>
    </row>
    <row r="39" spans="1:15" hidden="1" x14ac:dyDescent="0.25"/>
    <row r="40" spans="1:15" hidden="1" x14ac:dyDescent="0.25">
      <c r="A40" t="s">
        <v>49</v>
      </c>
    </row>
    <row r="41" spans="1:15" hidden="1" x14ac:dyDescent="0.25">
      <c r="A41" t="s">
        <v>50</v>
      </c>
      <c r="B41" s="7">
        <f>MIN(B34:M34)</f>
        <v>21.640930599369085</v>
      </c>
    </row>
    <row r="42" spans="1:15" hidden="1" x14ac:dyDescent="0.25">
      <c r="A42" t="s">
        <v>51</v>
      </c>
      <c r="B42" s="7">
        <f>MAX($B$34:$M$34)</f>
        <v>10004.12816116588</v>
      </c>
      <c r="C42">
        <f>B42*1.6%</f>
        <v>160.06605057865409</v>
      </c>
      <c r="D42" t="s">
        <v>78</v>
      </c>
    </row>
    <row r="43" spans="1:15" hidden="1" x14ac:dyDescent="0.25">
      <c r="B43" s="7"/>
    </row>
    <row r="44" spans="1:15" hidden="1" x14ac:dyDescent="0.25">
      <c r="A44" t="s">
        <v>63</v>
      </c>
      <c r="B44" s="7" t="s">
        <v>65</v>
      </c>
      <c r="C44" t="s">
        <v>66</v>
      </c>
    </row>
    <row r="45" spans="1:15" hidden="1" x14ac:dyDescent="0.25">
      <c r="A45" t="s">
        <v>50</v>
      </c>
      <c r="B45" s="7">
        <f>B19*L9</f>
        <v>2497.9499999999998</v>
      </c>
      <c r="C45" s="7">
        <f>B37*B19</f>
        <v>162.48485015772872</v>
      </c>
    </row>
    <row r="46" spans="1:15" hidden="1" x14ac:dyDescent="0.25">
      <c r="A46" t="s">
        <v>51</v>
      </c>
      <c r="B46" s="7">
        <f>L9*D19</f>
        <v>9325.68</v>
      </c>
      <c r="C46" s="7">
        <f>B38*D19</f>
        <v>58991.197033861979</v>
      </c>
      <c r="D46">
        <f>C46*1.6%</f>
        <v>943.85915254179167</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1665.3000000000002</v>
      </c>
      <c r="C50" s="7">
        <f>B38*D20</f>
        <v>10534.142327475354</v>
      </c>
      <c r="D50">
        <f>C50*1.6%</f>
        <v>168.54627723960567</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877.93753685425679</v>
      </c>
      <c r="C55" s="7">
        <f t="shared" si="5"/>
        <v>422.44666296529971</v>
      </c>
      <c r="D55" s="7">
        <f t="shared" si="5"/>
        <v>31255.42599153439</v>
      </c>
      <c r="E55" s="7">
        <f t="shared" si="5"/>
        <v>41081.798725760826</v>
      </c>
      <c r="F55" s="7">
        <f t="shared" si="5"/>
        <v>13768.838233154034</v>
      </c>
      <c r="G55" s="7">
        <f t="shared" si="5"/>
        <v>2929.0750134835821</v>
      </c>
      <c r="H55" s="7">
        <f t="shared" si="5"/>
        <v>9246.5461726670674</v>
      </c>
      <c r="I55" s="7">
        <f t="shared" si="5"/>
        <v>3422.9607440650402</v>
      </c>
      <c r="J55" s="7">
        <f t="shared" si="5"/>
        <v>10517.136535436177</v>
      </c>
      <c r="K55" s="7">
        <f t="shared" si="5"/>
        <v>15232.301700432899</v>
      </c>
      <c r="L55" s="7">
        <f t="shared" si="5"/>
        <v>6494.4555798882675</v>
      </c>
      <c r="M55" s="7">
        <f t="shared" si="5"/>
        <v>4038</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35.32692455988456</v>
      </c>
      <c r="C57" s="7">
        <f t="shared" si="6"/>
        <v>8.4396842902208196</v>
      </c>
      <c r="D57" s="7">
        <f t="shared" si="6"/>
        <v>3851.3002417989414</v>
      </c>
      <c r="E57" s="7">
        <f t="shared" si="6"/>
        <v>3901.4811720531497</v>
      </c>
      <c r="F57" s="7">
        <f t="shared" si="6"/>
        <v>374.46537447432763</v>
      </c>
      <c r="G57" s="7">
        <f t="shared" si="6"/>
        <v>52.97626920536235</v>
      </c>
      <c r="H57" s="7">
        <f t="shared" si="6"/>
        <v>951.63943118603243</v>
      </c>
      <c r="I57" s="7">
        <f t="shared" si="6"/>
        <v>21.453096585365852</v>
      </c>
      <c r="J57" s="7">
        <f t="shared" si="6"/>
        <v>650.79591483489401</v>
      </c>
      <c r="K57" s="7">
        <f t="shared" si="6"/>
        <v>1764.6685090909091</v>
      </c>
      <c r="L57" s="7">
        <f t="shared" si="6"/>
        <v>125.96584112795956</v>
      </c>
      <c r="M57" s="7">
        <f t="shared" si="6"/>
        <v>132.00000000000003</v>
      </c>
      <c r="N57" s="7"/>
    </row>
    <row r="58" spans="1:14" hidden="1" x14ac:dyDescent="0.25"/>
    <row r="59" spans="1:14" hidden="1" x14ac:dyDescent="0.25">
      <c r="A59" t="s">
        <v>48</v>
      </c>
    </row>
    <row r="60" spans="1:14" hidden="1" x14ac:dyDescent="0.25">
      <c r="A60" t="s">
        <v>50</v>
      </c>
      <c r="B60" s="7">
        <f>MIN($B$55:$M$55)</f>
        <v>422.44666296529971</v>
      </c>
    </row>
    <row r="61" spans="1:14" hidden="1" x14ac:dyDescent="0.25">
      <c r="A61" t="s">
        <v>51</v>
      </c>
      <c r="B61" s="7">
        <f>MAX($B$55:$M$55)</f>
        <v>41081.798725760826</v>
      </c>
    </row>
    <row r="62" spans="1:14" hidden="1" x14ac:dyDescent="0.25"/>
    <row r="63" spans="1:14" hidden="1" x14ac:dyDescent="0.25">
      <c r="A63" t="s">
        <v>49</v>
      </c>
    </row>
    <row r="64" spans="1:14" hidden="1" x14ac:dyDescent="0.25">
      <c r="A64" t="s">
        <v>50</v>
      </c>
      <c r="B64" s="7">
        <f>MIN($B$57:$M$57)</f>
        <v>8.4396842902208196</v>
      </c>
    </row>
    <row r="65" spans="1:14" hidden="1" x14ac:dyDescent="0.25">
      <c r="A65" t="s">
        <v>51</v>
      </c>
      <c r="B65" s="7">
        <f>MAX($B$57:$M$57)</f>
        <v>3901.4811720531497</v>
      </c>
    </row>
    <row r="66" spans="1:14" hidden="1" x14ac:dyDescent="0.25">
      <c r="B66" s="7"/>
    </row>
    <row r="67" spans="1:14" hidden="1" x14ac:dyDescent="0.25">
      <c r="A67" t="s">
        <v>63</v>
      </c>
      <c r="B67" s="7" t="s">
        <v>77</v>
      </c>
      <c r="C67" t="s">
        <v>76</v>
      </c>
    </row>
    <row r="68" spans="1:14" hidden="1" x14ac:dyDescent="0.25">
      <c r="A68" t="s">
        <v>50</v>
      </c>
      <c r="B68" s="7">
        <f>B19*M9</f>
        <v>605.69999999999993</v>
      </c>
    </row>
    <row r="69" spans="1:14" hidden="1" x14ac:dyDescent="0.25">
      <c r="A69" t="s">
        <v>51</v>
      </c>
      <c r="B69" s="7">
        <f>D19*M9</f>
        <v>2261.2800000000002</v>
      </c>
      <c r="C69" s="7">
        <f>B61*D19</f>
        <v>23005.807286426065</v>
      </c>
    </row>
    <row r="70" spans="1:14" hidden="1" x14ac:dyDescent="0.25">
      <c r="B70" s="7"/>
    </row>
    <row r="71" spans="1:14" hidden="1" x14ac:dyDescent="0.25">
      <c r="A71" t="s">
        <v>64</v>
      </c>
      <c r="B71" s="7" t="s">
        <v>77</v>
      </c>
      <c r="C71" t="s">
        <v>76</v>
      </c>
    </row>
    <row r="72" spans="1:14" hidden="1" x14ac:dyDescent="0.25">
      <c r="A72" t="s">
        <v>50</v>
      </c>
      <c r="B72" s="7">
        <f>B20*M9</f>
        <v>201.9</v>
      </c>
    </row>
    <row r="73" spans="1:14" hidden="1" x14ac:dyDescent="0.25">
      <c r="A73" t="s">
        <v>51</v>
      </c>
      <c r="B73">
        <f>D20*M9</f>
        <v>403.8</v>
      </c>
      <c r="C73" s="7">
        <f>B61*D20</f>
        <v>4108.1798725760827</v>
      </c>
    </row>
    <row r="75" spans="1:14" x14ac:dyDescent="0.25">
      <c r="A75" s="10" t="s">
        <v>52</v>
      </c>
    </row>
    <row r="77" spans="1:14" x14ac:dyDescent="0.25">
      <c r="A77" s="48" t="s">
        <v>48</v>
      </c>
      <c r="B77" s="43">
        <f t="shared" ref="B77:M77" si="7">B24*$O$6/100000</f>
        <v>33.101058493867242</v>
      </c>
      <c r="C77" s="43">
        <f t="shared" si="7"/>
        <v>15.927592925867511</v>
      </c>
      <c r="D77" s="43">
        <f t="shared" si="7"/>
        <v>1178.4297180224867</v>
      </c>
      <c r="E77" s="43">
        <f t="shared" si="7"/>
        <v>1548.9154587548221</v>
      </c>
      <c r="F77" s="43">
        <f t="shared" si="7"/>
        <v>519.12932368887527</v>
      </c>
      <c r="G77" s="43">
        <f t="shared" si="7"/>
        <v>110.43551424130561</v>
      </c>
      <c r="H77" s="43">
        <f t="shared" si="7"/>
        <v>348.62442130493679</v>
      </c>
      <c r="I77" s="43">
        <f t="shared" si="7"/>
        <v>129.05658894308942</v>
      </c>
      <c r="J77" s="43">
        <f t="shared" si="7"/>
        <v>396.52974959339582</v>
      </c>
      <c r="K77" s="43">
        <f t="shared" si="7"/>
        <v>574.30658608001193</v>
      </c>
      <c r="L77" s="43">
        <f t="shared" si="7"/>
        <v>244.86178687150837</v>
      </c>
      <c r="M77" s="43">
        <f t="shared" si="7"/>
        <v>152.24553978767247</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1.3319382611832613</v>
      </c>
      <c r="C79" s="43">
        <f t="shared" si="8"/>
        <v>0.31820314274447953</v>
      </c>
      <c r="D79" s="43">
        <f t="shared" si="8"/>
        <v>145.20636062334657</v>
      </c>
      <c r="E79" s="43">
        <f t="shared" si="8"/>
        <v>147.09834249892839</v>
      </c>
      <c r="F79" s="43">
        <f t="shared" si="8"/>
        <v>14.118544593520781</v>
      </c>
      <c r="G79" s="43">
        <f t="shared" si="8"/>
        <v>1.9973751117155625</v>
      </c>
      <c r="H79" s="43">
        <f t="shared" si="8"/>
        <v>35.87985608819988</v>
      </c>
      <c r="I79" s="43">
        <f t="shared" si="8"/>
        <v>0.80885048780487812</v>
      </c>
      <c r="J79" s="43">
        <f t="shared" si="8"/>
        <v>24.537091467471662</v>
      </c>
      <c r="K79" s="43">
        <f t="shared" si="8"/>
        <v>66.533657680250784</v>
      </c>
      <c r="L79" s="43">
        <f t="shared" si="8"/>
        <v>4.7493158685820704</v>
      </c>
      <c r="M79" s="43">
        <f t="shared" si="8"/>
        <v>4.9768229945450146</v>
      </c>
      <c r="N79" s="7"/>
    </row>
    <row r="81" spans="1:3" x14ac:dyDescent="0.25">
      <c r="A81" s="65" t="s">
        <v>48</v>
      </c>
      <c r="B81" s="65" t="s">
        <v>72</v>
      </c>
      <c r="C81" s="65" t="s">
        <v>73</v>
      </c>
    </row>
    <row r="82" spans="1:3" x14ac:dyDescent="0.25">
      <c r="A82" s="65" t="s">
        <v>50</v>
      </c>
      <c r="B82" s="66">
        <f>MIN($B$77:$M$77)</f>
        <v>15.927592925867511</v>
      </c>
      <c r="C82" s="66">
        <f>MIN($C$77:$M$77)</f>
        <v>15.927592925867511</v>
      </c>
    </row>
    <row r="83" spans="1:3" x14ac:dyDescent="0.25">
      <c r="A83" s="65" t="s">
        <v>51</v>
      </c>
      <c r="B83" s="66">
        <f>MAX($B$77:$M$77)</f>
        <v>1548.9154587548221</v>
      </c>
      <c r="C83" s="66">
        <f>MAX($C$77:$M$77)</f>
        <v>1548.9154587548221</v>
      </c>
    </row>
    <row r="84" spans="1:3" x14ac:dyDescent="0.25">
      <c r="A84" s="65"/>
      <c r="B84" s="65"/>
      <c r="C84" s="65"/>
    </row>
    <row r="85" spans="1:3" x14ac:dyDescent="0.25">
      <c r="A85" s="65" t="s">
        <v>49</v>
      </c>
      <c r="B85" s="65"/>
      <c r="C85" s="65"/>
    </row>
    <row r="86" spans="1:3" x14ac:dyDescent="0.25">
      <c r="A86" s="65" t="s">
        <v>50</v>
      </c>
      <c r="B86" s="66">
        <f>MIN($B$79:$M$79)</f>
        <v>0.31820314274447953</v>
      </c>
      <c r="C86" s="66">
        <f>MIN($C$79:$M$79)</f>
        <v>0.31820314274447953</v>
      </c>
    </row>
    <row r="87" spans="1:3" x14ac:dyDescent="0.25">
      <c r="A87" s="65" t="s">
        <v>51</v>
      </c>
      <c r="B87" s="66">
        <f>MAX($B$79:$M$79)</f>
        <v>147.09834249892839</v>
      </c>
      <c r="C87" s="66">
        <f>MAX($C$79:$M$79)</f>
        <v>147.09834249892839</v>
      </c>
    </row>
    <row r="88" spans="1:3" x14ac:dyDescent="0.25">
      <c r="A88" s="65"/>
      <c r="B88" s="65"/>
      <c r="C88" s="65"/>
    </row>
    <row r="89" spans="1:3" x14ac:dyDescent="0.25">
      <c r="A89" s="65" t="s">
        <v>27</v>
      </c>
      <c r="B89" s="65"/>
      <c r="C89" s="65"/>
    </row>
    <row r="90" spans="1:3" x14ac:dyDescent="0.25">
      <c r="A90" s="65" t="s">
        <v>50</v>
      </c>
      <c r="B90" s="66">
        <f>B82*$D$19</f>
        <v>8.919452038485808</v>
      </c>
      <c r="C90" s="66">
        <f>C82*$D$19</f>
        <v>8.919452038485808</v>
      </c>
    </row>
    <row r="91" spans="1:3" x14ac:dyDescent="0.25">
      <c r="A91" s="65" t="s">
        <v>51</v>
      </c>
      <c r="B91" s="66">
        <f>B83*$D$19</f>
        <v>867.39265690270042</v>
      </c>
      <c r="C91" s="66">
        <f>C83*$D$19</f>
        <v>867.39265690270042</v>
      </c>
    </row>
    <row r="92" spans="1:3" x14ac:dyDescent="0.25">
      <c r="A92" s="65"/>
      <c r="B92" s="66"/>
      <c r="C92" s="65"/>
    </row>
    <row r="93" spans="1:3" x14ac:dyDescent="0.25">
      <c r="A93" s="65" t="s">
        <v>62</v>
      </c>
      <c r="B93" s="66"/>
      <c r="C93" s="65"/>
    </row>
    <row r="94" spans="1:3" x14ac:dyDescent="0.25">
      <c r="A94" s="65" t="s">
        <v>50</v>
      </c>
      <c r="B94" s="66">
        <f>B82*$D$20</f>
        <v>1.5927592925867513</v>
      </c>
      <c r="C94" s="66">
        <f>C82*$D$20</f>
        <v>1.5927592925867513</v>
      </c>
    </row>
    <row r="95" spans="1:3" x14ac:dyDescent="0.25">
      <c r="A95" s="65" t="s">
        <v>51</v>
      </c>
      <c r="B95" s="66">
        <f>B83*$D$20</f>
        <v>154.89154587548222</v>
      </c>
      <c r="C95" s="66">
        <f>C83*$D$20</f>
        <v>154.89154587548222</v>
      </c>
    </row>
  </sheetData>
  <hyperlinks>
    <hyperlink ref="D18" r:id="rId1" xr:uid="{11DB3418-2850-46E7-A68D-6329F1F5860E}"/>
    <hyperlink ref="B18" r:id="rId2" xr:uid="{6EE30D1B-1D88-4524-AF5B-7C05F1BD9B7E}"/>
    <hyperlink ref="B1" r:id="rId3" xr:uid="{60C3F3E7-28E1-43F7-B117-395A279DDB8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7FE6-AD3C-4860-9629-48C2FF08C166}">
  <dimension ref="A1:P95"/>
  <sheetViews>
    <sheetView topLeftCell="K1" zoomScaleNormal="100" workbookViewId="0">
      <selection activeCell="L90" sqref="L90"/>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43928</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143</v>
      </c>
      <c r="C4" s="54">
        <v>83</v>
      </c>
      <c r="D4" s="54">
        <v>68</v>
      </c>
      <c r="E4" s="54">
        <v>68</v>
      </c>
      <c r="F4" s="54">
        <v>78</v>
      </c>
      <c r="G4" s="54">
        <v>78</v>
      </c>
      <c r="H4" s="54">
        <v>68</v>
      </c>
      <c r="I4" s="54">
        <v>74</v>
      </c>
      <c r="J4" s="54">
        <v>49</v>
      </c>
      <c r="K4" s="57">
        <v>49</v>
      </c>
      <c r="L4" s="62">
        <v>74</v>
      </c>
      <c r="M4" s="54">
        <v>74</v>
      </c>
      <c r="N4" s="54">
        <v>74</v>
      </c>
      <c r="O4" s="67">
        <v>34</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83249</v>
      </c>
      <c r="C9" s="54">
        <v>4768</v>
      </c>
      <c r="D9" s="54">
        <v>139422</v>
      </c>
      <c r="E9" s="54">
        <v>146690</v>
      </c>
      <c r="F9" s="54">
        <v>395030</v>
      </c>
      <c r="G9" s="54">
        <v>10423</v>
      </c>
      <c r="H9" s="54">
        <v>60737</v>
      </c>
      <c r="I9" s="54">
        <v>6052</v>
      </c>
      <c r="J9" s="54">
        <v>64586</v>
      </c>
      <c r="K9" s="57">
        <v>81095</v>
      </c>
      <c r="L9" s="62">
        <v>20748</v>
      </c>
      <c r="M9" s="54">
        <v>5759</v>
      </c>
      <c r="N9" s="54">
        <v>1769</v>
      </c>
      <c r="O9" s="67">
        <v>242</v>
      </c>
      <c r="P9" s="1"/>
    </row>
    <row r="10" spans="1:16" x14ac:dyDescent="0.25">
      <c r="A10" s="48" t="s">
        <v>34</v>
      </c>
      <c r="B10" s="54"/>
      <c r="C10" s="54"/>
      <c r="D10" s="54"/>
      <c r="E10" s="54"/>
      <c r="F10" s="54"/>
      <c r="G10" s="54"/>
      <c r="H10" s="54"/>
      <c r="I10" s="54"/>
      <c r="J10" s="54"/>
      <c r="K10" s="57"/>
      <c r="L10" s="62"/>
      <c r="M10" s="54"/>
      <c r="N10" s="54">
        <v>174</v>
      </c>
      <c r="O10" s="67">
        <v>55</v>
      </c>
    </row>
    <row r="11" spans="1:16" x14ac:dyDescent="0.25">
      <c r="A11" s="48" t="s">
        <v>123</v>
      </c>
      <c r="B11" s="54"/>
      <c r="C11" s="54"/>
      <c r="D11" s="54"/>
      <c r="E11" s="54"/>
      <c r="F11" s="54"/>
      <c r="G11" s="54"/>
      <c r="H11" s="54"/>
      <c r="I11" s="54"/>
      <c r="J11" s="54"/>
      <c r="K11" s="57"/>
      <c r="L11" s="62"/>
      <c r="M11" s="54"/>
      <c r="N11" s="54">
        <v>76</v>
      </c>
      <c r="O11" s="67">
        <v>27</v>
      </c>
    </row>
    <row r="12" spans="1:16" x14ac:dyDescent="0.25">
      <c r="A12" s="48" t="s">
        <v>35</v>
      </c>
      <c r="B12" s="54">
        <v>3344</v>
      </c>
      <c r="C12" s="54">
        <v>85</v>
      </c>
      <c r="D12" s="54">
        <v>17669</v>
      </c>
      <c r="E12" s="54">
        <v>14555</v>
      </c>
      <c r="F12" s="54">
        <v>12740</v>
      </c>
      <c r="G12" s="54">
        <v>204</v>
      </c>
      <c r="H12" s="54">
        <v>7097</v>
      </c>
      <c r="I12" s="54">
        <v>50</v>
      </c>
      <c r="J12" s="54">
        <v>3993</v>
      </c>
      <c r="K12" s="57">
        <v>10853</v>
      </c>
      <c r="L12" s="62">
        <v>509</v>
      </c>
      <c r="M12" s="54">
        <v>200</v>
      </c>
      <c r="N12" s="54">
        <v>54</v>
      </c>
      <c r="O12" s="67">
        <v>9</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4.0168650674482574E-2</v>
      </c>
      <c r="C16" s="71">
        <f t="shared" ref="C16:O16" si="0">C12/C9</f>
        <v>1.782718120805369E-2</v>
      </c>
      <c r="D16" s="71">
        <f t="shared" si="0"/>
        <v>0.12673035819311157</v>
      </c>
      <c r="E16" s="71">
        <f t="shared" si="0"/>
        <v>9.9222850910082483E-2</v>
      </c>
      <c r="F16" s="71">
        <f t="shared" si="0"/>
        <v>3.2250715135559327E-2</v>
      </c>
      <c r="G16" s="71">
        <f t="shared" si="0"/>
        <v>1.9572100163100833E-2</v>
      </c>
      <c r="H16" s="71">
        <f t="shared" si="0"/>
        <v>0.11684804978843209</v>
      </c>
      <c r="I16" s="71">
        <f t="shared" si="0"/>
        <v>8.2617316589557177E-3</v>
      </c>
      <c r="J16" s="71">
        <f t="shared" si="0"/>
        <v>6.1824544018827608E-2</v>
      </c>
      <c r="K16" s="71">
        <f t="shared" si="0"/>
        <v>0.13383069239780504</v>
      </c>
      <c r="L16" s="71">
        <f t="shared" si="0"/>
        <v>2.4532485058800849E-2</v>
      </c>
      <c r="M16" s="71">
        <f t="shared" si="0"/>
        <v>3.4728251432540373E-2</v>
      </c>
      <c r="N16" s="71">
        <f t="shared" si="0"/>
        <v>3.0525720746184284E-2</v>
      </c>
      <c r="O16" s="71">
        <f t="shared" si="0"/>
        <v>3.71900826446281E-2</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9.8360655737704916E-2</v>
      </c>
      <c r="O19" s="72">
        <f>O10/O9</f>
        <v>0.22727272727272727</v>
      </c>
    </row>
    <row r="20" spans="1:15" x14ac:dyDescent="0.25">
      <c r="A20" s="48" t="s">
        <v>59</v>
      </c>
      <c r="B20" s="72">
        <v>0.05</v>
      </c>
      <c r="C20" s="72"/>
      <c r="D20" s="72">
        <v>0.1</v>
      </c>
      <c r="E20" s="72"/>
      <c r="F20" s="72"/>
      <c r="G20" s="72"/>
      <c r="H20" s="72"/>
      <c r="I20" s="72"/>
      <c r="J20" s="72"/>
      <c r="K20" s="72"/>
      <c r="L20" s="72"/>
      <c r="M20" s="72"/>
      <c r="N20" s="72">
        <f>N11/N9</f>
        <v>4.2962125494629737E-2</v>
      </c>
      <c r="O20" s="72">
        <f>O11/O9</f>
        <v>0.1115702479338843</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6.006421356421356</v>
      </c>
      <c r="C24" s="66">
        <f t="shared" si="1"/>
        <v>3.7602523659305991</v>
      </c>
      <c r="D24" s="66">
        <f t="shared" si="1"/>
        <v>230.52579365079364</v>
      </c>
      <c r="E24" s="66">
        <f t="shared" si="1"/>
        <v>314.38062580368626</v>
      </c>
      <c r="F24" s="66">
        <f t="shared" si="1"/>
        <v>120.73044009779952</v>
      </c>
      <c r="G24" s="66">
        <f t="shared" si="1"/>
        <v>20.250631435787838</v>
      </c>
      <c r="H24" s="66">
        <f t="shared" si="1"/>
        <v>91.416315472606854</v>
      </c>
      <c r="I24" s="66">
        <f t="shared" si="1"/>
        <v>24.601626016260163</v>
      </c>
      <c r="J24" s="66">
        <f t="shared" si="1"/>
        <v>79.57861015278462</v>
      </c>
      <c r="K24" s="66">
        <f t="shared" si="1"/>
        <v>121.055381400209</v>
      </c>
      <c r="L24" s="66">
        <f t="shared" si="1"/>
        <v>55.195530726256976</v>
      </c>
      <c r="M24" s="66">
        <f t="shared" si="1"/>
        <v>39.284794362962849</v>
      </c>
      <c r="N24" s="66">
        <f>N9/$N$6*100000</f>
        <v>60.375426621160408</v>
      </c>
      <c r="O24" s="66">
        <f>O9/$O$6*100000</f>
        <v>43.783906519550328</v>
      </c>
    </row>
    <row r="25" spans="1:15" x14ac:dyDescent="0.25">
      <c r="A25" s="48" t="s">
        <v>34</v>
      </c>
      <c r="B25" s="65"/>
      <c r="C25" s="65"/>
      <c r="D25" s="65"/>
      <c r="E25" s="65"/>
      <c r="F25" s="65"/>
      <c r="G25" s="65"/>
      <c r="H25" s="65"/>
      <c r="I25" s="65"/>
      <c r="J25" s="65"/>
      <c r="K25" s="65"/>
      <c r="L25" s="65"/>
      <c r="M25" s="65"/>
      <c r="N25" s="66">
        <f>N10/$N$6*100000</f>
        <v>5.9385665529010243</v>
      </c>
      <c r="O25" s="66">
        <f>O10/$O$6*100000</f>
        <v>9.9508878453523479</v>
      </c>
    </row>
    <row r="26" spans="1:15" x14ac:dyDescent="0.25">
      <c r="A26" s="48" t="s">
        <v>35</v>
      </c>
      <c r="B26" s="66">
        <f>B12/B6*100000</f>
        <v>0.24126984126984125</v>
      </c>
      <c r="C26" s="66">
        <f t="shared" ref="C26:O26" si="2">C12/C6*100000</f>
        <v>6.7034700315457413E-2</v>
      </c>
      <c r="D26" s="66">
        <f t="shared" si="2"/>
        <v>29.214616402116402</v>
      </c>
      <c r="E26" s="66">
        <f t="shared" si="2"/>
        <v>31.19374196313759</v>
      </c>
      <c r="F26" s="66">
        <f t="shared" si="2"/>
        <v>3.8936430317848414</v>
      </c>
      <c r="G26" s="66">
        <f t="shared" si="2"/>
        <v>0.39634738682727799</v>
      </c>
      <c r="H26" s="66">
        <f t="shared" si="2"/>
        <v>10.681818181818182</v>
      </c>
      <c r="I26" s="66">
        <f t="shared" si="2"/>
        <v>0.2032520325203252</v>
      </c>
      <c r="J26" s="66">
        <f t="shared" si="2"/>
        <v>4.919911286347955</v>
      </c>
      <c r="K26" s="66">
        <f t="shared" si="2"/>
        <v>16.200925511270338</v>
      </c>
      <c r="L26" s="66">
        <f t="shared" si="2"/>
        <v>1.3540835328544825</v>
      </c>
      <c r="M26" s="66">
        <f t="shared" si="2"/>
        <v>1.3642922161126185</v>
      </c>
      <c r="N26" s="66">
        <f t="shared" si="2"/>
        <v>1.8430034129692834</v>
      </c>
      <c r="O26" s="66">
        <f t="shared" si="2"/>
        <v>1.6283271019667476</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2257.8137878787879</v>
      </c>
      <c r="C32" s="7">
        <f t="shared" si="3"/>
        <v>1413.4788643533122</v>
      </c>
      <c r="D32" s="7">
        <f t="shared" si="3"/>
        <v>86654.645833333343</v>
      </c>
      <c r="E32" s="7">
        <f t="shared" si="3"/>
        <v>118175.67723960566</v>
      </c>
      <c r="F32" s="7">
        <f t="shared" si="3"/>
        <v>45382.572432762841</v>
      </c>
      <c r="G32" s="7">
        <f t="shared" si="3"/>
        <v>7612.2123567126491</v>
      </c>
      <c r="H32" s="7">
        <f t="shared" si="3"/>
        <v>34363.392986152918</v>
      </c>
      <c r="I32" s="7">
        <f t="shared" si="3"/>
        <v>9247.7512195121963</v>
      </c>
      <c r="J32" s="7">
        <f t="shared" si="3"/>
        <v>29913.599556431738</v>
      </c>
      <c r="K32" s="7">
        <f t="shared" si="3"/>
        <v>45504.717868338565</v>
      </c>
      <c r="L32" s="7">
        <f t="shared" si="3"/>
        <v>20747.999999999996</v>
      </c>
      <c r="M32" s="7">
        <f t="shared" si="3"/>
        <v>14767.154201037736</v>
      </c>
      <c r="N32" s="7">
        <f t="shared" si="3"/>
        <v>22695.122866894199</v>
      </c>
      <c r="O32" s="7">
        <f t="shared" si="3"/>
        <v>16458.37046069897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90.693333333333314</v>
      </c>
      <c r="C34" s="7">
        <f t="shared" si="4"/>
        <v>25.198343848580443</v>
      </c>
      <c r="D34" s="7">
        <f t="shared" si="4"/>
        <v>10981.774305555557</v>
      </c>
      <c r="E34" s="7">
        <f t="shared" si="4"/>
        <v>11725.72760394342</v>
      </c>
      <c r="F34" s="7">
        <f t="shared" si="4"/>
        <v>1463.6204156479218</v>
      </c>
      <c r="G34" s="7">
        <f t="shared" si="4"/>
        <v>148.9869827083738</v>
      </c>
      <c r="H34" s="7">
        <f t="shared" si="4"/>
        <v>4015.2954545454545</v>
      </c>
      <c r="I34" s="7">
        <f t="shared" si="4"/>
        <v>76.402439024390247</v>
      </c>
      <c r="J34" s="7">
        <f t="shared" si="4"/>
        <v>1849.3946525381964</v>
      </c>
      <c r="K34" s="7">
        <f t="shared" si="4"/>
        <v>6089.9278996865205</v>
      </c>
      <c r="L34" s="7">
        <f t="shared" si="4"/>
        <v>508.99999999999994</v>
      </c>
      <c r="M34" s="7">
        <f t="shared" si="4"/>
        <v>512.83744403673325</v>
      </c>
      <c r="N34" s="7">
        <f t="shared" si="4"/>
        <v>692.78498293515372</v>
      </c>
      <c r="O34" s="7">
        <f t="shared" si="4"/>
        <v>612.08815762930044</v>
      </c>
    </row>
    <row r="35" spans="1:15" hidden="1" x14ac:dyDescent="0.25"/>
    <row r="36" spans="1:15" hidden="1" x14ac:dyDescent="0.25">
      <c r="A36" t="s">
        <v>48</v>
      </c>
      <c r="B36" t="s">
        <v>75</v>
      </c>
    </row>
    <row r="37" spans="1:15" hidden="1" x14ac:dyDescent="0.25">
      <c r="A37" t="s">
        <v>50</v>
      </c>
      <c r="B37" s="7">
        <f>MIN($B$32:$M$32)</f>
        <v>1413.4788643533122</v>
      </c>
      <c r="C37" s="7"/>
    </row>
    <row r="38" spans="1:15" hidden="1" x14ac:dyDescent="0.25">
      <c r="A38" t="s">
        <v>51</v>
      </c>
      <c r="B38" s="7">
        <f>MAX(B32:M32)</f>
        <v>118175.67723960566</v>
      </c>
      <c r="C38">
        <f>B38*1.6%</f>
        <v>1890.8108358336906</v>
      </c>
      <c r="D38" t="s">
        <v>78</v>
      </c>
    </row>
    <row r="39" spans="1:15" hidden="1" x14ac:dyDescent="0.25"/>
    <row r="40" spans="1:15" hidden="1" x14ac:dyDescent="0.25">
      <c r="A40" t="s">
        <v>49</v>
      </c>
    </row>
    <row r="41" spans="1:15" hidden="1" x14ac:dyDescent="0.25">
      <c r="A41" t="s">
        <v>50</v>
      </c>
      <c r="B41" s="7">
        <f>MIN(B34:M34)</f>
        <v>25.198343848580443</v>
      </c>
    </row>
    <row r="42" spans="1:15" hidden="1" x14ac:dyDescent="0.25">
      <c r="A42" t="s">
        <v>51</v>
      </c>
      <c r="B42" s="7">
        <f>MAX($B$34:$M$34)</f>
        <v>11725.72760394342</v>
      </c>
      <c r="C42">
        <f>B42*1.6%</f>
        <v>187.61164166309473</v>
      </c>
      <c r="D42" t="s">
        <v>78</v>
      </c>
    </row>
    <row r="43" spans="1:15" hidden="1" x14ac:dyDescent="0.25">
      <c r="B43" s="7"/>
    </row>
    <row r="44" spans="1:15" hidden="1" x14ac:dyDescent="0.25">
      <c r="A44" t="s">
        <v>63</v>
      </c>
      <c r="B44" s="7" t="s">
        <v>65</v>
      </c>
      <c r="C44" t="s">
        <v>66</v>
      </c>
    </row>
    <row r="45" spans="1:15" hidden="1" x14ac:dyDescent="0.25">
      <c r="A45" t="s">
        <v>50</v>
      </c>
      <c r="B45" s="7">
        <f>B19*L9</f>
        <v>3112.2</v>
      </c>
      <c r="C45" s="7">
        <f>B37*B19</f>
        <v>212.02182965299684</v>
      </c>
    </row>
    <row r="46" spans="1:15" hidden="1" x14ac:dyDescent="0.25">
      <c r="A46" t="s">
        <v>51</v>
      </c>
      <c r="B46" s="7">
        <f>L9*D19</f>
        <v>11618.880000000001</v>
      </c>
      <c r="C46" s="7">
        <f>B38*D19</f>
        <v>66178.379254179177</v>
      </c>
      <c r="D46">
        <f>C46*1.6%</f>
        <v>1058.8540680668668</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2074.8000000000002</v>
      </c>
      <c r="C50" s="7">
        <f>B38*D20</f>
        <v>11817.567723960567</v>
      </c>
      <c r="D50">
        <f>C50*1.6%</f>
        <v>189.08108358336906</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880.51830619336215</v>
      </c>
      <c r="C55" s="7">
        <f t="shared" si="5"/>
        <v>551.2385574763407</v>
      </c>
      <c r="D55" s="7">
        <f t="shared" si="5"/>
        <v>33794.196130158729</v>
      </c>
      <c r="E55" s="7">
        <f t="shared" si="5"/>
        <v>46086.992521217318</v>
      </c>
      <c r="F55" s="7">
        <f t="shared" si="5"/>
        <v>17698.618913447433</v>
      </c>
      <c r="G55" s="7">
        <f t="shared" si="5"/>
        <v>2968.6648060617836</v>
      </c>
      <c r="H55" s="7">
        <f t="shared" si="5"/>
        <v>13401.28080963275</v>
      </c>
      <c r="I55" s="7">
        <f t="shared" si="5"/>
        <v>3606.5039037398374</v>
      </c>
      <c r="J55" s="7">
        <f t="shared" si="5"/>
        <v>11665.918666535239</v>
      </c>
      <c r="K55" s="7">
        <f t="shared" si="5"/>
        <v>17746.254060606061</v>
      </c>
      <c r="L55" s="7">
        <f t="shared" si="5"/>
        <v>8091.4528536312846</v>
      </c>
      <c r="M55" s="7">
        <f t="shared" si="5"/>
        <v>5759</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35.369232253968249</v>
      </c>
      <c r="C57" s="7">
        <f t="shared" si="6"/>
        <v>9.8270296529968455</v>
      </c>
      <c r="D57" s="7">
        <f t="shared" si="6"/>
        <v>4282.7505804232806</v>
      </c>
      <c r="E57" s="7">
        <f t="shared" si="6"/>
        <v>4572.8827878268321</v>
      </c>
      <c r="F57" s="7">
        <f t="shared" si="6"/>
        <v>570.7931168704157</v>
      </c>
      <c r="G57" s="7">
        <f t="shared" si="6"/>
        <v>58.103004934913535</v>
      </c>
      <c r="H57" s="7">
        <f t="shared" si="6"/>
        <v>1565.9135272727272</v>
      </c>
      <c r="I57" s="7">
        <f t="shared" si="6"/>
        <v>29.795967479674797</v>
      </c>
      <c r="J57" s="7">
        <f t="shared" si="6"/>
        <v>721.24010211927055</v>
      </c>
      <c r="K57" s="7">
        <f t="shared" si="6"/>
        <v>2374.9934683982683</v>
      </c>
      <c r="L57" s="7">
        <f t="shared" si="6"/>
        <v>198.50344623570095</v>
      </c>
      <c r="M57" s="7">
        <f t="shared" si="6"/>
        <v>200</v>
      </c>
      <c r="N57" s="7"/>
    </row>
    <row r="58" spans="1:14" hidden="1" x14ac:dyDescent="0.25"/>
    <row r="59" spans="1:14" hidden="1" x14ac:dyDescent="0.25">
      <c r="A59" t="s">
        <v>48</v>
      </c>
    </row>
    <row r="60" spans="1:14" hidden="1" x14ac:dyDescent="0.25">
      <c r="A60" t="s">
        <v>50</v>
      </c>
      <c r="B60" s="7">
        <f>MIN($B$55:$M$55)</f>
        <v>551.2385574763407</v>
      </c>
    </row>
    <row r="61" spans="1:14" hidden="1" x14ac:dyDescent="0.25">
      <c r="A61" t="s">
        <v>51</v>
      </c>
      <c r="B61" s="7">
        <f>MAX($B$55:$M$55)</f>
        <v>46086.992521217318</v>
      </c>
    </row>
    <row r="62" spans="1:14" hidden="1" x14ac:dyDescent="0.25"/>
    <row r="63" spans="1:14" hidden="1" x14ac:dyDescent="0.25">
      <c r="A63" t="s">
        <v>49</v>
      </c>
    </row>
    <row r="64" spans="1:14" hidden="1" x14ac:dyDescent="0.25">
      <c r="A64" t="s">
        <v>50</v>
      </c>
      <c r="B64" s="7">
        <f>MIN($B$57:$M$57)</f>
        <v>9.8270296529968455</v>
      </c>
    </row>
    <row r="65" spans="1:14" hidden="1" x14ac:dyDescent="0.25">
      <c r="A65" t="s">
        <v>51</v>
      </c>
      <c r="B65" s="7">
        <f>MAX($B$57:$M$57)</f>
        <v>4572.8827878268321</v>
      </c>
    </row>
    <row r="66" spans="1:14" hidden="1" x14ac:dyDescent="0.25">
      <c r="B66" s="7"/>
    </row>
    <row r="67" spans="1:14" hidden="1" x14ac:dyDescent="0.25">
      <c r="A67" t="s">
        <v>63</v>
      </c>
      <c r="B67" s="7" t="s">
        <v>77</v>
      </c>
      <c r="C67" t="s">
        <v>76</v>
      </c>
    </row>
    <row r="68" spans="1:14" hidden="1" x14ac:dyDescent="0.25">
      <c r="A68" t="s">
        <v>50</v>
      </c>
      <c r="B68" s="7">
        <f>B19*M9</f>
        <v>863.85</v>
      </c>
    </row>
    <row r="69" spans="1:14" hidden="1" x14ac:dyDescent="0.25">
      <c r="A69" t="s">
        <v>51</v>
      </c>
      <c r="B69" s="7">
        <f>D19*M9</f>
        <v>3225.0400000000004</v>
      </c>
      <c r="C69" s="7">
        <f>B61*D19</f>
        <v>25808.715811881702</v>
      </c>
    </row>
    <row r="70" spans="1:14" hidden="1" x14ac:dyDescent="0.25">
      <c r="B70" s="7"/>
    </row>
    <row r="71" spans="1:14" hidden="1" x14ac:dyDescent="0.25">
      <c r="A71" t="s">
        <v>64</v>
      </c>
      <c r="B71" s="7" t="s">
        <v>77</v>
      </c>
      <c r="C71" t="s">
        <v>76</v>
      </c>
    </row>
    <row r="72" spans="1:14" hidden="1" x14ac:dyDescent="0.25">
      <c r="A72" t="s">
        <v>50</v>
      </c>
      <c r="B72" s="7">
        <f>B20*M9</f>
        <v>287.95</v>
      </c>
    </row>
    <row r="73" spans="1:14" hidden="1" x14ac:dyDescent="0.25">
      <c r="A73" t="s">
        <v>51</v>
      </c>
      <c r="B73">
        <f>D20*M9</f>
        <v>575.9</v>
      </c>
      <c r="C73" s="7">
        <f>B61*D20</f>
        <v>4608.6992521217317</v>
      </c>
    </row>
    <row r="75" spans="1:14" x14ac:dyDescent="0.25">
      <c r="A75" s="10" t="s">
        <v>52</v>
      </c>
    </row>
    <row r="77" spans="1:14" x14ac:dyDescent="0.25">
      <c r="A77" s="48" t="s">
        <v>48</v>
      </c>
      <c r="B77" s="43">
        <f t="shared" ref="B77:M77" si="7">B24*$O$6/100000</f>
        <v>33.198361768037515</v>
      </c>
      <c r="C77" s="43">
        <f t="shared" si="7"/>
        <v>20.783460063091482</v>
      </c>
      <c r="D77" s="43">
        <f t="shared" si="7"/>
        <v>1274.1494877480159</v>
      </c>
      <c r="E77" s="43">
        <f t="shared" si="7"/>
        <v>1737.6273040077156</v>
      </c>
      <c r="F77" s="43">
        <f t="shared" si="7"/>
        <v>667.29464833435213</v>
      </c>
      <c r="G77" s="43">
        <f t="shared" si="7"/>
        <v>111.92817628715757</v>
      </c>
      <c r="H77" s="43">
        <f t="shared" si="7"/>
        <v>505.27123098284164</v>
      </c>
      <c r="I77" s="43">
        <f t="shared" si="7"/>
        <v>135.97675422764226</v>
      </c>
      <c r="J77" s="43">
        <f t="shared" si="7"/>
        <v>439.84251721291275</v>
      </c>
      <c r="K77" s="43">
        <f t="shared" si="7"/>
        <v>669.0906460292581</v>
      </c>
      <c r="L77" s="43">
        <f t="shared" si="7"/>
        <v>305.07370167597765</v>
      </c>
      <c r="M77" s="43">
        <f t="shared" si="7"/>
        <v>217.13275473927828</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1.3335333968253966</v>
      </c>
      <c r="C79" s="43">
        <f t="shared" si="8"/>
        <v>0.3705105086750789</v>
      </c>
      <c r="D79" s="43">
        <f t="shared" si="8"/>
        <v>161.47342097387565</v>
      </c>
      <c r="E79" s="43">
        <f t="shared" si="8"/>
        <v>172.4123349228461</v>
      </c>
      <c r="F79" s="43">
        <f t="shared" si="8"/>
        <v>21.520729614914426</v>
      </c>
      <c r="G79" s="43">
        <f t="shared" si="8"/>
        <v>2.1906694773654554</v>
      </c>
      <c r="H79" s="43">
        <f t="shared" si="8"/>
        <v>59.03995795454545</v>
      </c>
      <c r="I79" s="43">
        <f t="shared" si="8"/>
        <v>1.1234034552845527</v>
      </c>
      <c r="J79" s="43">
        <f t="shared" si="8"/>
        <v>27.193063066781665</v>
      </c>
      <c r="K79" s="43">
        <f t="shared" si="8"/>
        <v>89.544864434990288</v>
      </c>
      <c r="L79" s="43">
        <f t="shared" si="8"/>
        <v>7.4842160281989889</v>
      </c>
      <c r="M79" s="43">
        <f t="shared" si="8"/>
        <v>7.5406409008257791</v>
      </c>
      <c r="N79" s="7"/>
    </row>
    <row r="81" spans="1:3" x14ac:dyDescent="0.25">
      <c r="A81" s="65" t="s">
        <v>48</v>
      </c>
      <c r="B81" s="65" t="s">
        <v>72</v>
      </c>
      <c r="C81" s="65" t="s">
        <v>73</v>
      </c>
    </row>
    <row r="82" spans="1:3" x14ac:dyDescent="0.25">
      <c r="A82" s="65" t="s">
        <v>50</v>
      </c>
      <c r="B82" s="66">
        <f>MIN($B$77:$M$77)</f>
        <v>20.783460063091482</v>
      </c>
      <c r="C82" s="66">
        <f>MIN($C$77:$M$77)</f>
        <v>20.783460063091482</v>
      </c>
    </row>
    <row r="83" spans="1:3" x14ac:dyDescent="0.25">
      <c r="A83" s="65" t="s">
        <v>51</v>
      </c>
      <c r="B83" s="66">
        <f>MAX($B$77:$M$77)</f>
        <v>1737.6273040077156</v>
      </c>
      <c r="C83" s="66">
        <f>MAX($C$77:$M$77)</f>
        <v>1737.6273040077156</v>
      </c>
    </row>
    <row r="84" spans="1:3" x14ac:dyDescent="0.25">
      <c r="A84" s="65"/>
      <c r="B84" s="65"/>
      <c r="C84" s="65"/>
    </row>
    <row r="85" spans="1:3" x14ac:dyDescent="0.25">
      <c r="A85" s="65" t="s">
        <v>49</v>
      </c>
      <c r="B85" s="65"/>
      <c r="C85" s="65"/>
    </row>
    <row r="86" spans="1:3" x14ac:dyDescent="0.25">
      <c r="A86" s="65" t="s">
        <v>50</v>
      </c>
      <c r="B86" s="66">
        <f>MIN($B$79:$M$79)</f>
        <v>0.3705105086750789</v>
      </c>
      <c r="C86" s="66">
        <f>MIN($C$79:$M$79)</f>
        <v>0.3705105086750789</v>
      </c>
    </row>
    <row r="87" spans="1:3" x14ac:dyDescent="0.25">
      <c r="A87" s="65" t="s">
        <v>51</v>
      </c>
      <c r="B87" s="66">
        <f>MAX($B$79:$M$79)</f>
        <v>172.4123349228461</v>
      </c>
      <c r="C87" s="66">
        <f>MAX($C$79:$M$79)</f>
        <v>172.4123349228461</v>
      </c>
    </row>
    <row r="88" spans="1:3" x14ac:dyDescent="0.25">
      <c r="A88" s="65"/>
      <c r="B88" s="65"/>
      <c r="C88" s="65"/>
    </row>
    <row r="89" spans="1:3" x14ac:dyDescent="0.25">
      <c r="A89" s="65" t="s">
        <v>27</v>
      </c>
      <c r="B89" s="65"/>
      <c r="C89" s="65"/>
    </row>
    <row r="90" spans="1:3" x14ac:dyDescent="0.25">
      <c r="A90" s="65" t="s">
        <v>50</v>
      </c>
      <c r="B90" s="66">
        <f>B82*$D$19</f>
        <v>11.638737635331232</v>
      </c>
      <c r="C90" s="66">
        <f>C82*$D$19</f>
        <v>11.638737635331232</v>
      </c>
    </row>
    <row r="91" spans="1:3" x14ac:dyDescent="0.25">
      <c r="A91" s="65" t="s">
        <v>51</v>
      </c>
      <c r="B91" s="66">
        <f>B83*$D$19</f>
        <v>973.07129024432083</v>
      </c>
      <c r="C91" s="66">
        <f>C83*$D$19</f>
        <v>973.07129024432083</v>
      </c>
    </row>
    <row r="92" spans="1:3" x14ac:dyDescent="0.25">
      <c r="A92" s="65"/>
      <c r="B92" s="66"/>
      <c r="C92" s="65"/>
    </row>
    <row r="93" spans="1:3" x14ac:dyDescent="0.25">
      <c r="A93" s="65" t="s">
        <v>62</v>
      </c>
      <c r="B93" s="66"/>
      <c r="C93" s="65"/>
    </row>
    <row r="94" spans="1:3" x14ac:dyDescent="0.25">
      <c r="A94" s="65" t="s">
        <v>50</v>
      </c>
      <c r="B94" s="66">
        <f>B82*$D$20</f>
        <v>2.0783460063091481</v>
      </c>
      <c r="C94" s="66">
        <f>C82*$D$20</f>
        <v>2.0783460063091481</v>
      </c>
    </row>
    <row r="95" spans="1:3" x14ac:dyDescent="0.25">
      <c r="A95" s="65" t="s">
        <v>51</v>
      </c>
      <c r="B95" s="66">
        <f>B83*$D$20</f>
        <v>173.76273040077157</v>
      </c>
      <c r="C95" s="66">
        <f>C83*$D$20</f>
        <v>173.76273040077157</v>
      </c>
    </row>
  </sheetData>
  <hyperlinks>
    <hyperlink ref="D18" r:id="rId1" xr:uid="{97504056-3D01-4825-9581-75E7754172F0}"/>
    <hyperlink ref="B18" r:id="rId2" xr:uid="{9183805D-6E6F-4DA8-BBD9-2E6359EA19AF}"/>
    <hyperlink ref="B1" r:id="rId3" xr:uid="{26663120-2A3C-49AA-8094-D7EEA4D36CF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E78B-5F7C-48A9-B035-61CF096B706A}">
  <dimension ref="A1:P95"/>
  <sheetViews>
    <sheetView zoomScaleNormal="100" workbookViewId="0">
      <selection activeCell="E75" sqref="E75"/>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43933</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143</v>
      </c>
      <c r="C4" s="54">
        <v>83</v>
      </c>
      <c r="D4" s="54">
        <v>68</v>
      </c>
      <c r="E4" s="54">
        <v>68</v>
      </c>
      <c r="F4" s="54">
        <v>78</v>
      </c>
      <c r="G4" s="54">
        <v>78</v>
      </c>
      <c r="H4" s="54">
        <v>68</v>
      </c>
      <c r="I4" s="54">
        <v>74</v>
      </c>
      <c r="J4" s="54">
        <v>49</v>
      </c>
      <c r="K4" s="57">
        <v>49</v>
      </c>
      <c r="L4" s="62">
        <v>74</v>
      </c>
      <c r="M4" s="54">
        <v>74</v>
      </c>
      <c r="N4" s="54">
        <v>74</v>
      </c>
      <c r="O4" s="67">
        <v>34</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83482</v>
      </c>
      <c r="C9" s="54">
        <v>6748</v>
      </c>
      <c r="D9" s="54">
        <v>152271</v>
      </c>
      <c r="E9" s="54">
        <v>161852</v>
      </c>
      <c r="F9" s="54">
        <v>492881</v>
      </c>
      <c r="G9" s="54">
        <v>10512</v>
      </c>
      <c r="H9" s="54">
        <v>78995</v>
      </c>
      <c r="I9" s="54">
        <v>6289</v>
      </c>
      <c r="J9" s="54">
        <v>70029</v>
      </c>
      <c r="K9" s="57">
        <v>92787</v>
      </c>
      <c r="L9" s="62">
        <v>24365</v>
      </c>
      <c r="M9" s="54">
        <v>7049</v>
      </c>
      <c r="N9" s="54">
        <v>2225</v>
      </c>
      <c r="O9" s="67">
        <v>242</v>
      </c>
      <c r="P9" s="1"/>
    </row>
    <row r="10" spans="1:16" x14ac:dyDescent="0.25">
      <c r="A10" s="48" t="s">
        <v>34</v>
      </c>
      <c r="B10" s="54"/>
      <c r="C10" s="54"/>
      <c r="D10" s="54"/>
      <c r="E10" s="54"/>
      <c r="F10" s="54"/>
      <c r="G10" s="54"/>
      <c r="H10" s="54"/>
      <c r="I10" s="54"/>
      <c r="J10" s="54"/>
      <c r="K10" s="57"/>
      <c r="L10" s="62"/>
      <c r="M10" s="54"/>
      <c r="N10" s="54">
        <v>373</v>
      </c>
      <c r="O10" s="67">
        <v>59</v>
      </c>
    </row>
    <row r="11" spans="1:16" x14ac:dyDescent="0.25">
      <c r="A11" s="48" t="s">
        <v>123</v>
      </c>
      <c r="B11" s="54"/>
      <c r="C11" s="54"/>
      <c r="D11" s="54"/>
      <c r="E11" s="54"/>
      <c r="F11" s="54"/>
      <c r="G11" s="54"/>
      <c r="H11" s="54"/>
      <c r="I11" s="54"/>
      <c r="J11" s="54"/>
      <c r="K11" s="57"/>
      <c r="L11" s="62"/>
      <c r="M11" s="54"/>
      <c r="N11" s="54">
        <v>121</v>
      </c>
      <c r="O11" s="67">
        <v>30</v>
      </c>
    </row>
    <row r="12" spans="1:16" x14ac:dyDescent="0.25">
      <c r="A12" s="48" t="s">
        <v>35</v>
      </c>
      <c r="B12" s="54">
        <v>3349</v>
      </c>
      <c r="C12" s="54">
        <v>98</v>
      </c>
      <c r="D12" s="54">
        <v>19470</v>
      </c>
      <c r="E12" s="54">
        <v>16353</v>
      </c>
      <c r="F12" s="54">
        <v>18516</v>
      </c>
      <c r="G12" s="54">
        <v>214</v>
      </c>
      <c r="H12" s="54">
        <v>9875</v>
      </c>
      <c r="I12" s="54">
        <v>57</v>
      </c>
      <c r="J12" s="54">
        <v>4357</v>
      </c>
      <c r="K12" s="57">
        <v>13814</v>
      </c>
      <c r="L12" s="62">
        <v>717</v>
      </c>
      <c r="M12" s="54">
        <v>274</v>
      </c>
      <c r="N12" s="54">
        <v>77</v>
      </c>
      <c r="O12" s="67">
        <v>11</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4.011643228480391E-2</v>
      </c>
      <c r="C16" s="71">
        <f t="shared" ref="C16:O16" si="0">C12/C9</f>
        <v>1.4522821576763486E-2</v>
      </c>
      <c r="D16" s="71">
        <f t="shared" si="0"/>
        <v>0.12786413696632976</v>
      </c>
      <c r="E16" s="71">
        <f t="shared" si="0"/>
        <v>0.10103674962311247</v>
      </c>
      <c r="F16" s="71">
        <f t="shared" si="0"/>
        <v>3.7566877197538553E-2</v>
      </c>
      <c r="G16" s="71">
        <f t="shared" si="0"/>
        <v>2.0357686453576863E-2</v>
      </c>
      <c r="H16" s="71">
        <f t="shared" si="0"/>
        <v>0.1250079118931578</v>
      </c>
      <c r="I16" s="71">
        <f t="shared" si="0"/>
        <v>9.0634441087613302E-3</v>
      </c>
      <c r="J16" s="71">
        <f t="shared" si="0"/>
        <v>6.2217081494809291E-2</v>
      </c>
      <c r="K16" s="71">
        <f t="shared" si="0"/>
        <v>0.14887861446107753</v>
      </c>
      <c r="L16" s="71">
        <f t="shared" si="0"/>
        <v>2.9427457418428074E-2</v>
      </c>
      <c r="M16" s="71">
        <f t="shared" si="0"/>
        <v>3.8870761810185839E-2</v>
      </c>
      <c r="N16" s="71">
        <f t="shared" si="0"/>
        <v>3.4606741573033707E-2</v>
      </c>
      <c r="O16" s="71">
        <f t="shared" si="0"/>
        <v>4.5454545454545456E-2</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0.16764044943820225</v>
      </c>
      <c r="O19" s="72">
        <f>O10/O9</f>
        <v>0.24380165289256198</v>
      </c>
    </row>
    <row r="20" spans="1:15" x14ac:dyDescent="0.25">
      <c r="A20" s="48" t="s">
        <v>59</v>
      </c>
      <c r="B20" s="72">
        <v>0.05</v>
      </c>
      <c r="C20" s="72"/>
      <c r="D20" s="72">
        <v>0.1</v>
      </c>
      <c r="E20" s="72"/>
      <c r="F20" s="72"/>
      <c r="G20" s="72"/>
      <c r="H20" s="72"/>
      <c r="I20" s="72"/>
      <c r="J20" s="72"/>
      <c r="K20" s="72"/>
      <c r="L20" s="72"/>
      <c r="M20" s="72"/>
      <c r="N20" s="72">
        <f>N11/N9</f>
        <v>5.438202247191011E-2</v>
      </c>
      <c r="O20" s="72">
        <f>O11/O9</f>
        <v>0.12396694214876033</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6.0232323232323237</v>
      </c>
      <c r="C24" s="66">
        <f t="shared" si="1"/>
        <v>5.3217665615141962</v>
      </c>
      <c r="D24" s="66">
        <f t="shared" si="1"/>
        <v>251.77083333333331</v>
      </c>
      <c r="E24" s="66">
        <f t="shared" si="1"/>
        <v>346.87526789541363</v>
      </c>
      <c r="F24" s="66">
        <f t="shared" si="1"/>
        <v>150.63600244498775</v>
      </c>
      <c r="G24" s="66">
        <f t="shared" si="1"/>
        <v>20.423547697687976</v>
      </c>
      <c r="H24" s="66">
        <f t="shared" si="1"/>
        <v>118.89674894641782</v>
      </c>
      <c r="I24" s="66">
        <f t="shared" si="1"/>
        <v>25.565040650406505</v>
      </c>
      <c r="J24" s="66">
        <f t="shared" si="1"/>
        <v>86.285115820601277</v>
      </c>
      <c r="K24" s="66">
        <f t="shared" si="1"/>
        <v>138.50873264666367</v>
      </c>
      <c r="L24" s="66">
        <f t="shared" si="1"/>
        <v>64.817770683692473</v>
      </c>
      <c r="M24" s="66">
        <f t="shared" si="1"/>
        <v>48.084479156889238</v>
      </c>
      <c r="N24" s="66">
        <f>N9/$N$6*100000</f>
        <v>75.938566552901023</v>
      </c>
      <c r="O24" s="66">
        <f>O9/$O$6*100000</f>
        <v>43.783906519550328</v>
      </c>
    </row>
    <row r="25" spans="1:15" x14ac:dyDescent="0.25">
      <c r="A25" s="48" t="s">
        <v>34</v>
      </c>
      <c r="B25" s="65"/>
      <c r="C25" s="65"/>
      <c r="D25" s="65"/>
      <c r="E25" s="65"/>
      <c r="F25" s="65"/>
      <c r="G25" s="65"/>
      <c r="H25" s="65"/>
      <c r="I25" s="65"/>
      <c r="J25" s="65"/>
      <c r="K25" s="65"/>
      <c r="L25" s="65"/>
      <c r="M25" s="65"/>
      <c r="N25" s="66">
        <f>N10/$N$6*100000</f>
        <v>12.73037542662116</v>
      </c>
      <c r="O25" s="66">
        <f>O10/$O$6*100000</f>
        <v>10.674588779559791</v>
      </c>
    </row>
    <row r="26" spans="1:15" x14ac:dyDescent="0.25">
      <c r="A26" s="48" t="s">
        <v>35</v>
      </c>
      <c r="B26" s="66">
        <f>B12/B6*100000</f>
        <v>0.24163059163059164</v>
      </c>
      <c r="C26" s="66">
        <f t="shared" ref="C26:O26" si="2">C12/C6*100000</f>
        <v>7.7287066246056788E-2</v>
      </c>
      <c r="D26" s="66">
        <f t="shared" si="2"/>
        <v>32.192460317460316</v>
      </c>
      <c r="E26" s="66">
        <f t="shared" si="2"/>
        <v>35.047149592798966</v>
      </c>
      <c r="F26" s="66">
        <f t="shared" si="2"/>
        <v>5.6589242053789732</v>
      </c>
      <c r="G26" s="66">
        <f t="shared" si="2"/>
        <v>0.41577618029920344</v>
      </c>
      <c r="H26" s="66">
        <f t="shared" si="2"/>
        <v>14.863034316676702</v>
      </c>
      <c r="I26" s="66">
        <f t="shared" si="2"/>
        <v>0.23170731707317074</v>
      </c>
      <c r="J26" s="66">
        <f t="shared" si="2"/>
        <v>5.3684080827994087</v>
      </c>
      <c r="K26" s="66">
        <f t="shared" si="2"/>
        <v>20.620988207195104</v>
      </c>
      <c r="L26" s="66">
        <f t="shared" si="2"/>
        <v>1.9074221867517958</v>
      </c>
      <c r="M26" s="66">
        <f t="shared" si="2"/>
        <v>1.8690803360742874</v>
      </c>
      <c r="N26" s="66">
        <f t="shared" si="2"/>
        <v>2.6279863481228669</v>
      </c>
      <c r="O26" s="66">
        <f t="shared" si="2"/>
        <v>1.9901775690704693</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2264.1330303030304</v>
      </c>
      <c r="C32" s="7">
        <f t="shared" si="3"/>
        <v>2000.4520504731863</v>
      </c>
      <c r="D32" s="7">
        <f t="shared" si="3"/>
        <v>94640.65625</v>
      </c>
      <c r="E32" s="7">
        <f t="shared" si="3"/>
        <v>130390.41320188598</v>
      </c>
      <c r="F32" s="7">
        <f t="shared" si="3"/>
        <v>56624.073319070892</v>
      </c>
      <c r="G32" s="7">
        <f t="shared" si="3"/>
        <v>7677.2115795609106</v>
      </c>
      <c r="H32" s="7">
        <f t="shared" si="3"/>
        <v>44693.287928958453</v>
      </c>
      <c r="I32" s="7">
        <f t="shared" si="3"/>
        <v>9609.8987804878052</v>
      </c>
      <c r="J32" s="7">
        <f t="shared" si="3"/>
        <v>32434.575036964019</v>
      </c>
      <c r="K32" s="7">
        <f t="shared" si="3"/>
        <v>52065.432601880872</v>
      </c>
      <c r="L32" s="7">
        <f t="shared" si="3"/>
        <v>24365</v>
      </c>
      <c r="M32" s="7">
        <f t="shared" si="3"/>
        <v>18074.955715074666</v>
      </c>
      <c r="N32" s="7">
        <f t="shared" si="3"/>
        <v>28545.307167235493</v>
      </c>
      <c r="O32" s="7">
        <f t="shared" si="3"/>
        <v>16458.37046069897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90.828939393939393</v>
      </c>
      <c r="C34" s="7">
        <f t="shared" si="4"/>
        <v>29.05220820189275</v>
      </c>
      <c r="D34" s="7">
        <f t="shared" si="4"/>
        <v>12101.145833333332</v>
      </c>
      <c r="E34" s="7">
        <f t="shared" si="4"/>
        <v>13174.223531933132</v>
      </c>
      <c r="F34" s="7">
        <f t="shared" si="4"/>
        <v>2127.1896088019562</v>
      </c>
      <c r="G34" s="7">
        <f t="shared" si="4"/>
        <v>156.29026617447059</v>
      </c>
      <c r="H34" s="7">
        <f t="shared" si="4"/>
        <v>5587.0145996387719</v>
      </c>
      <c r="I34" s="7">
        <f t="shared" si="4"/>
        <v>87.098780487804873</v>
      </c>
      <c r="J34" s="7">
        <f t="shared" si="4"/>
        <v>2017.9845983242976</v>
      </c>
      <c r="K34" s="7">
        <f t="shared" si="4"/>
        <v>7751.4294670846402</v>
      </c>
      <c r="L34" s="7">
        <f t="shared" si="4"/>
        <v>717</v>
      </c>
      <c r="M34" s="7">
        <f t="shared" si="4"/>
        <v>702.58729833032464</v>
      </c>
      <c r="N34" s="7">
        <f t="shared" si="4"/>
        <v>987.86006825938568</v>
      </c>
      <c r="O34" s="7">
        <f t="shared" si="4"/>
        <v>748.10774821358939</v>
      </c>
    </row>
    <row r="35" spans="1:15" hidden="1" x14ac:dyDescent="0.25"/>
    <row r="36" spans="1:15" hidden="1" x14ac:dyDescent="0.25">
      <c r="A36" t="s">
        <v>48</v>
      </c>
      <c r="B36" t="s">
        <v>75</v>
      </c>
    </row>
    <row r="37" spans="1:15" hidden="1" x14ac:dyDescent="0.25">
      <c r="A37" t="s">
        <v>50</v>
      </c>
      <c r="B37" s="7">
        <f>MIN($B$32:$M$32)</f>
        <v>2000.4520504731863</v>
      </c>
      <c r="C37" s="7"/>
    </row>
    <row r="38" spans="1:15" hidden="1" x14ac:dyDescent="0.25">
      <c r="A38" t="s">
        <v>51</v>
      </c>
      <c r="B38" s="7">
        <f>MAX(B32:M32)</f>
        <v>130390.41320188598</v>
      </c>
      <c r="C38">
        <f>B38*1.6%</f>
        <v>2086.2466112301759</v>
      </c>
      <c r="D38" t="s">
        <v>78</v>
      </c>
    </row>
    <row r="39" spans="1:15" hidden="1" x14ac:dyDescent="0.25"/>
    <row r="40" spans="1:15" hidden="1" x14ac:dyDescent="0.25">
      <c r="A40" t="s">
        <v>49</v>
      </c>
    </row>
    <row r="41" spans="1:15" hidden="1" x14ac:dyDescent="0.25">
      <c r="A41" t="s">
        <v>50</v>
      </c>
      <c r="B41" s="7">
        <f>MIN(B34:M34)</f>
        <v>29.05220820189275</v>
      </c>
    </row>
    <row r="42" spans="1:15" hidden="1" x14ac:dyDescent="0.25">
      <c r="A42" t="s">
        <v>51</v>
      </c>
      <c r="B42" s="7">
        <f>MAX($B$34:$M$34)</f>
        <v>13174.223531933132</v>
      </c>
      <c r="C42">
        <f>B42*1.6%</f>
        <v>210.78757651093011</v>
      </c>
      <c r="D42" t="s">
        <v>78</v>
      </c>
    </row>
    <row r="43" spans="1:15" hidden="1" x14ac:dyDescent="0.25">
      <c r="B43" s="7"/>
    </row>
    <row r="44" spans="1:15" hidden="1" x14ac:dyDescent="0.25">
      <c r="A44" t="s">
        <v>63</v>
      </c>
      <c r="B44" s="7" t="s">
        <v>65</v>
      </c>
      <c r="C44" t="s">
        <v>66</v>
      </c>
    </row>
    <row r="45" spans="1:15" hidden="1" x14ac:dyDescent="0.25">
      <c r="A45" t="s">
        <v>50</v>
      </c>
      <c r="B45" s="7">
        <f>B19*L9</f>
        <v>3654.75</v>
      </c>
      <c r="C45" s="7">
        <f>B37*B19</f>
        <v>300.06780757097795</v>
      </c>
    </row>
    <row r="46" spans="1:15" hidden="1" x14ac:dyDescent="0.25">
      <c r="A46" t="s">
        <v>51</v>
      </c>
      <c r="B46" s="7">
        <f>L9*D19</f>
        <v>13644.400000000001</v>
      </c>
      <c r="C46" s="7">
        <f>B38*D19</f>
        <v>73018.631393056159</v>
      </c>
      <c r="D46">
        <f>C46*1.6%</f>
        <v>1168.2981022888985</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2436.5</v>
      </c>
      <c r="C50" s="7">
        <f>B38*D20</f>
        <v>13039.041320188599</v>
      </c>
      <c r="D50">
        <f>C50*1.6%</f>
        <v>208.62466112301757</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882.98272937373747</v>
      </c>
      <c r="C55" s="7">
        <f t="shared" si="5"/>
        <v>780.15054233438491</v>
      </c>
      <c r="D55" s="7">
        <f t="shared" si="5"/>
        <v>36908.637366666662</v>
      </c>
      <c r="E55" s="7">
        <f t="shared" si="5"/>
        <v>50850.582272438915</v>
      </c>
      <c r="F55" s="7">
        <f t="shared" si="5"/>
        <v>22082.659516185817</v>
      </c>
      <c r="G55" s="7">
        <f t="shared" si="5"/>
        <v>2994.0136660578983</v>
      </c>
      <c r="H55" s="7">
        <f t="shared" si="5"/>
        <v>17429.806832028898</v>
      </c>
      <c r="I55" s="7">
        <f t="shared" si="5"/>
        <v>3747.7367895934963</v>
      </c>
      <c r="J55" s="7">
        <f t="shared" si="5"/>
        <v>12649.066644455397</v>
      </c>
      <c r="K55" s="7">
        <f t="shared" si="5"/>
        <v>20304.848332467533</v>
      </c>
      <c r="L55" s="7">
        <f t="shared" si="5"/>
        <v>9502.036281989891</v>
      </c>
      <c r="M55" s="7">
        <f t="shared" si="5"/>
        <v>7049</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35.422116871572875</v>
      </c>
      <c r="C57" s="7">
        <f t="shared" si="6"/>
        <v>11.329987129337541</v>
      </c>
      <c r="D57" s="7">
        <f t="shared" si="6"/>
        <v>4719.2910634920636</v>
      </c>
      <c r="E57" s="7">
        <f t="shared" si="6"/>
        <v>5137.7775492498922</v>
      </c>
      <c r="F57" s="7">
        <f t="shared" si="6"/>
        <v>829.57655823960886</v>
      </c>
      <c r="G57" s="7">
        <f t="shared" si="6"/>
        <v>60.951191451330871</v>
      </c>
      <c r="H57" s="7">
        <f t="shared" si="6"/>
        <v>2178.8637567730284</v>
      </c>
      <c r="I57" s="7">
        <f t="shared" si="6"/>
        <v>33.967402926829273</v>
      </c>
      <c r="J57" s="7">
        <f t="shared" si="6"/>
        <v>786.98801025135538</v>
      </c>
      <c r="K57" s="7">
        <f t="shared" si="6"/>
        <v>3022.9576865800868</v>
      </c>
      <c r="L57" s="7">
        <f t="shared" si="6"/>
        <v>279.62076807661612</v>
      </c>
      <c r="M57" s="7">
        <f t="shared" si="6"/>
        <v>274</v>
      </c>
      <c r="N57" s="7"/>
    </row>
    <row r="58" spans="1:14" hidden="1" x14ac:dyDescent="0.25"/>
    <row r="59" spans="1:14" hidden="1" x14ac:dyDescent="0.25">
      <c r="A59" t="s">
        <v>48</v>
      </c>
    </row>
    <row r="60" spans="1:14" hidden="1" x14ac:dyDescent="0.25">
      <c r="A60" t="s">
        <v>50</v>
      </c>
      <c r="B60" s="7">
        <f>MIN($B$55:$M$55)</f>
        <v>780.15054233438491</v>
      </c>
    </row>
    <row r="61" spans="1:14" hidden="1" x14ac:dyDescent="0.25">
      <c r="A61" t="s">
        <v>51</v>
      </c>
      <c r="B61" s="7">
        <f>MAX($B$55:$M$55)</f>
        <v>50850.582272438915</v>
      </c>
    </row>
    <row r="62" spans="1:14" hidden="1" x14ac:dyDescent="0.25"/>
    <row r="63" spans="1:14" hidden="1" x14ac:dyDescent="0.25">
      <c r="A63" t="s">
        <v>49</v>
      </c>
    </row>
    <row r="64" spans="1:14" hidden="1" x14ac:dyDescent="0.25">
      <c r="A64" t="s">
        <v>50</v>
      </c>
      <c r="B64" s="7">
        <f>MIN($B$57:$M$57)</f>
        <v>11.329987129337541</v>
      </c>
    </row>
    <row r="65" spans="1:14" hidden="1" x14ac:dyDescent="0.25">
      <c r="A65" t="s">
        <v>51</v>
      </c>
      <c r="B65" s="7">
        <f>MAX($B$57:$M$57)</f>
        <v>5137.7775492498922</v>
      </c>
    </row>
    <row r="66" spans="1:14" hidden="1" x14ac:dyDescent="0.25">
      <c r="B66" s="7"/>
    </row>
    <row r="67" spans="1:14" hidden="1" x14ac:dyDescent="0.25">
      <c r="A67" t="s">
        <v>63</v>
      </c>
      <c r="B67" s="7" t="s">
        <v>77</v>
      </c>
      <c r="C67" t="s">
        <v>76</v>
      </c>
    </row>
    <row r="68" spans="1:14" hidden="1" x14ac:dyDescent="0.25">
      <c r="A68" t="s">
        <v>50</v>
      </c>
      <c r="B68" s="7">
        <f>B19*M9</f>
        <v>1057.3499999999999</v>
      </c>
    </row>
    <row r="69" spans="1:14" hidden="1" x14ac:dyDescent="0.25">
      <c r="A69" t="s">
        <v>51</v>
      </c>
      <c r="B69" s="7">
        <f>D19*M9</f>
        <v>3947.4400000000005</v>
      </c>
      <c r="C69" s="7">
        <f>B61*D19</f>
        <v>28476.326072565796</v>
      </c>
    </row>
    <row r="70" spans="1:14" hidden="1" x14ac:dyDescent="0.25">
      <c r="B70" s="7"/>
    </row>
    <row r="71" spans="1:14" hidden="1" x14ac:dyDescent="0.25">
      <c r="A71" t="s">
        <v>64</v>
      </c>
      <c r="B71" s="7" t="s">
        <v>77</v>
      </c>
      <c r="C71" t="s">
        <v>76</v>
      </c>
    </row>
    <row r="72" spans="1:14" hidden="1" x14ac:dyDescent="0.25">
      <c r="A72" t="s">
        <v>50</v>
      </c>
      <c r="B72" s="7">
        <f>B20*M9</f>
        <v>352.45000000000005</v>
      </c>
    </row>
    <row r="73" spans="1:14" hidden="1" x14ac:dyDescent="0.25">
      <c r="A73" t="s">
        <v>51</v>
      </c>
      <c r="B73">
        <f>D20*M9</f>
        <v>704.90000000000009</v>
      </c>
      <c r="C73" s="7">
        <f>B61*D20</f>
        <v>5085.0582272438915</v>
      </c>
    </row>
    <row r="75" spans="1:14" x14ac:dyDescent="0.25">
      <c r="A75" s="10" t="s">
        <v>52</v>
      </c>
    </row>
    <row r="77" spans="1:14" x14ac:dyDescent="0.25">
      <c r="A77" s="48" t="s">
        <v>48</v>
      </c>
      <c r="B77" s="43">
        <f t="shared" ref="B77:M77" si="7">B24*$O$6/100000</f>
        <v>33.291278419191919</v>
      </c>
      <c r="C77" s="43">
        <f t="shared" si="7"/>
        <v>29.414175441640381</v>
      </c>
      <c r="D77" s="43">
        <f t="shared" si="7"/>
        <v>1391.5739026041665</v>
      </c>
      <c r="E77" s="43">
        <f t="shared" si="7"/>
        <v>1917.2299025717959</v>
      </c>
      <c r="F77" s="43">
        <f t="shared" si="7"/>
        <v>832.58702773380185</v>
      </c>
      <c r="G77" s="43">
        <f t="shared" si="7"/>
        <v>112.88390953953761</v>
      </c>
      <c r="H77" s="43">
        <f t="shared" si="7"/>
        <v>657.15957145544849</v>
      </c>
      <c r="I77" s="43">
        <f t="shared" si="7"/>
        <v>141.30168660569106</v>
      </c>
      <c r="J77" s="43">
        <f t="shared" si="7"/>
        <v>476.91034648225724</v>
      </c>
      <c r="K77" s="43">
        <f t="shared" si="7"/>
        <v>765.55784910434397</v>
      </c>
      <c r="L77" s="43">
        <f t="shared" si="7"/>
        <v>358.25721714551747</v>
      </c>
      <c r="M77" s="43">
        <f t="shared" si="7"/>
        <v>265.76988854960456</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1.3355273163780663</v>
      </c>
      <c r="C79" s="43">
        <f t="shared" si="8"/>
        <v>0.42717682176656158</v>
      </c>
      <c r="D79" s="43">
        <f t="shared" si="8"/>
        <v>177.93239608134922</v>
      </c>
      <c r="E79" s="43">
        <f t="shared" si="8"/>
        <v>193.71067763609085</v>
      </c>
      <c r="F79" s="43">
        <f t="shared" si="8"/>
        <v>31.277694627139365</v>
      </c>
      <c r="G79" s="43">
        <f t="shared" si="8"/>
        <v>2.2980552360598407</v>
      </c>
      <c r="H79" s="43">
        <f t="shared" si="8"/>
        <v>82.150145808248041</v>
      </c>
      <c r="I79" s="43">
        <f t="shared" si="8"/>
        <v>1.2806799390243904</v>
      </c>
      <c r="J79" s="43">
        <f t="shared" si="8"/>
        <v>29.671969892804338</v>
      </c>
      <c r="K79" s="43">
        <f t="shared" si="8"/>
        <v>113.97519186445739</v>
      </c>
      <c r="L79" s="43">
        <f t="shared" si="8"/>
        <v>10.542599002394255</v>
      </c>
      <c r="M79" s="43">
        <f t="shared" si="8"/>
        <v>10.330678034131317</v>
      </c>
      <c r="N79" s="7"/>
    </row>
    <row r="81" spans="1:3" x14ac:dyDescent="0.25">
      <c r="A81" s="65" t="s">
        <v>48</v>
      </c>
      <c r="B81" s="65" t="s">
        <v>72</v>
      </c>
      <c r="C81" s="65" t="s">
        <v>73</v>
      </c>
    </row>
    <row r="82" spans="1:3" x14ac:dyDescent="0.25">
      <c r="A82" s="65" t="s">
        <v>50</v>
      </c>
      <c r="B82" s="66">
        <f>MIN($B$77:$M$77)</f>
        <v>29.414175441640381</v>
      </c>
      <c r="C82" s="66">
        <f>MIN($C$77:$M$77)</f>
        <v>29.414175441640381</v>
      </c>
    </row>
    <row r="83" spans="1:3" x14ac:dyDescent="0.25">
      <c r="A83" s="65" t="s">
        <v>51</v>
      </c>
      <c r="B83" s="66">
        <f>MAX($B$77:$M$77)</f>
        <v>1917.2299025717959</v>
      </c>
      <c r="C83" s="66">
        <f>MAX($C$77:$M$77)</f>
        <v>1917.2299025717959</v>
      </c>
    </row>
    <row r="84" spans="1:3" x14ac:dyDescent="0.25">
      <c r="A84" s="65"/>
      <c r="B84" s="65"/>
      <c r="C84" s="65"/>
    </row>
    <row r="85" spans="1:3" x14ac:dyDescent="0.25">
      <c r="A85" s="65" t="s">
        <v>49</v>
      </c>
      <c r="B85" s="65"/>
      <c r="C85" s="65"/>
    </row>
    <row r="86" spans="1:3" x14ac:dyDescent="0.25">
      <c r="A86" s="65" t="s">
        <v>50</v>
      </c>
      <c r="B86" s="66">
        <f>MIN($B$79:$M$79)</f>
        <v>0.42717682176656158</v>
      </c>
      <c r="C86" s="66">
        <f>MIN($C$79:$M$79)</f>
        <v>0.42717682176656158</v>
      </c>
    </row>
    <row r="87" spans="1:3" x14ac:dyDescent="0.25">
      <c r="A87" s="65" t="s">
        <v>51</v>
      </c>
      <c r="B87" s="66">
        <f>MAX($B$79:$M$79)</f>
        <v>193.71067763609085</v>
      </c>
      <c r="C87" s="66">
        <f>MAX($C$79:$M$79)</f>
        <v>193.71067763609085</v>
      </c>
    </row>
    <row r="88" spans="1:3" x14ac:dyDescent="0.25">
      <c r="A88" s="65"/>
      <c r="B88" s="65"/>
      <c r="C88" s="65"/>
    </row>
    <row r="89" spans="1:3" x14ac:dyDescent="0.25">
      <c r="A89" s="65" t="s">
        <v>27</v>
      </c>
      <c r="B89" s="65"/>
      <c r="C89" s="65"/>
    </row>
    <row r="90" spans="1:3" x14ac:dyDescent="0.25">
      <c r="A90" s="65" t="s">
        <v>50</v>
      </c>
      <c r="B90" s="66">
        <f>B82*$D$19</f>
        <v>16.471938247318615</v>
      </c>
      <c r="C90" s="66">
        <f>C82*$D$19</f>
        <v>16.471938247318615</v>
      </c>
    </row>
    <row r="91" spans="1:3" x14ac:dyDescent="0.25">
      <c r="A91" s="65" t="s">
        <v>51</v>
      </c>
      <c r="B91" s="66">
        <f>B83*$D$19</f>
        <v>1073.6487454402059</v>
      </c>
      <c r="C91" s="66">
        <f>C83*$D$19</f>
        <v>1073.6487454402059</v>
      </c>
    </row>
    <row r="92" spans="1:3" x14ac:dyDescent="0.25">
      <c r="A92" s="65"/>
      <c r="B92" s="66"/>
      <c r="C92" s="65"/>
    </row>
    <row r="93" spans="1:3" x14ac:dyDescent="0.25">
      <c r="A93" s="65" t="s">
        <v>62</v>
      </c>
      <c r="B93" s="66"/>
      <c r="C93" s="65"/>
    </row>
    <row r="94" spans="1:3" x14ac:dyDescent="0.25">
      <c r="A94" s="65" t="s">
        <v>50</v>
      </c>
      <c r="B94" s="66">
        <f>B82*$D$20</f>
        <v>2.9414175441640382</v>
      </c>
      <c r="C94" s="66">
        <f>C82*$D$20</f>
        <v>2.9414175441640382</v>
      </c>
    </row>
    <row r="95" spans="1:3" x14ac:dyDescent="0.25">
      <c r="A95" s="65" t="s">
        <v>51</v>
      </c>
      <c r="B95" s="66">
        <f>B83*$D$20</f>
        <v>191.72299025717962</v>
      </c>
      <c r="C95" s="66">
        <f>C83*$D$20</f>
        <v>191.72299025717962</v>
      </c>
    </row>
  </sheetData>
  <hyperlinks>
    <hyperlink ref="D18" r:id="rId1" xr:uid="{66E8E620-895D-4975-BAB3-6B7D812A9434}"/>
    <hyperlink ref="B18" r:id="rId2" xr:uid="{2B4267B7-3513-4A53-BA0E-11E9B4FB85F1}"/>
    <hyperlink ref="B1" r:id="rId3" xr:uid="{12F0E938-3C6F-4161-BCD9-E6D40004813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6663E-E79F-41F3-8CA8-EFCFE574E18A}">
  <dimension ref="A1:P95"/>
  <sheetViews>
    <sheetView topLeftCell="A2" zoomScaleNormal="100" workbookViewId="0">
      <selection activeCell="C90" sqref="C90"/>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43933</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152</v>
      </c>
      <c r="C4" s="54">
        <v>92</v>
      </c>
      <c r="D4" s="54">
        <v>77</v>
      </c>
      <c r="E4" s="54">
        <v>77</v>
      </c>
      <c r="F4" s="54">
        <v>87</v>
      </c>
      <c r="G4" s="54">
        <v>87</v>
      </c>
      <c r="H4" s="54">
        <v>77</v>
      </c>
      <c r="I4" s="54">
        <v>83</v>
      </c>
      <c r="J4" s="54">
        <v>58</v>
      </c>
      <c r="K4" s="57">
        <v>58</v>
      </c>
      <c r="L4" s="62">
        <v>83</v>
      </c>
      <c r="M4" s="54">
        <v>83</v>
      </c>
      <c r="N4" s="54">
        <v>83</v>
      </c>
      <c r="O4" s="67">
        <v>43</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83797</v>
      </c>
      <c r="C9" s="54">
        <v>8582</v>
      </c>
      <c r="D9" s="54">
        <v>165155</v>
      </c>
      <c r="E9" s="54">
        <v>177633</v>
      </c>
      <c r="F9" s="54">
        <v>604070</v>
      </c>
      <c r="G9" s="54">
        <v>10613</v>
      </c>
      <c r="H9" s="54">
        <v>98480</v>
      </c>
      <c r="I9" s="54">
        <v>6458</v>
      </c>
      <c r="J9" s="54">
        <v>76389</v>
      </c>
      <c r="K9" s="57">
        <v>105155</v>
      </c>
      <c r="L9" s="62">
        <v>30659</v>
      </c>
      <c r="M9" s="54">
        <v>9525</v>
      </c>
      <c r="N9" s="54">
        <v>2881</v>
      </c>
      <c r="O9" s="67">
        <v>339</v>
      </c>
      <c r="P9" s="1"/>
    </row>
    <row r="10" spans="1:16" x14ac:dyDescent="0.25">
      <c r="A10" s="48" t="s">
        <v>34</v>
      </c>
      <c r="B10" s="54"/>
      <c r="C10" s="54"/>
      <c r="D10" s="54"/>
      <c r="E10" s="54"/>
      <c r="F10" s="54"/>
      <c r="G10" s="54"/>
      <c r="H10" s="54"/>
      <c r="I10" s="54"/>
      <c r="J10" s="54"/>
      <c r="K10" s="57"/>
      <c r="L10" s="62"/>
      <c r="M10" s="54"/>
      <c r="N10" s="54">
        <v>464</v>
      </c>
      <c r="O10" s="67">
        <v>63</v>
      </c>
    </row>
    <row r="11" spans="1:16" x14ac:dyDescent="0.25">
      <c r="A11" s="48" t="s">
        <v>123</v>
      </c>
      <c r="B11" s="54"/>
      <c r="C11" s="54"/>
      <c r="D11" s="54"/>
      <c r="E11" s="54"/>
      <c r="F11" s="54"/>
      <c r="G11" s="54"/>
      <c r="H11" s="54"/>
      <c r="I11" s="54"/>
      <c r="J11" s="54"/>
      <c r="K11" s="57"/>
      <c r="L11" s="62"/>
      <c r="M11" s="54"/>
      <c r="N11" s="54">
        <v>147</v>
      </c>
      <c r="O11" s="67">
        <v>28</v>
      </c>
    </row>
    <row r="12" spans="1:16" x14ac:dyDescent="0.25">
      <c r="A12" s="48" t="s">
        <v>35</v>
      </c>
      <c r="B12" s="54">
        <v>3352</v>
      </c>
      <c r="C12" s="54">
        <v>136</v>
      </c>
      <c r="D12" s="54">
        <v>3569</v>
      </c>
      <c r="E12" s="54">
        <v>18579</v>
      </c>
      <c r="F12" s="54">
        <v>25871</v>
      </c>
      <c r="G12" s="54">
        <v>229</v>
      </c>
      <c r="H12" s="54">
        <v>12868</v>
      </c>
      <c r="I12" s="54">
        <v>63</v>
      </c>
      <c r="J12" s="54">
        <v>4777</v>
      </c>
      <c r="K12" s="57">
        <v>17146</v>
      </c>
      <c r="L12" s="62">
        <v>1250</v>
      </c>
      <c r="M12" s="54">
        <v>478</v>
      </c>
      <c r="N12" s="54">
        <v>147</v>
      </c>
      <c r="O12" s="67">
        <v>19</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4.000143203217299E-2</v>
      </c>
      <c r="C16" s="71">
        <f t="shared" ref="C16:O16" si="0">C12/C9</f>
        <v>1.5847121883010955E-2</v>
      </c>
      <c r="D16" s="71">
        <f t="shared" si="0"/>
        <v>2.1610002724713147E-2</v>
      </c>
      <c r="E16" s="71">
        <f t="shared" si="0"/>
        <v>0.10459205215247167</v>
      </c>
      <c r="F16" s="71">
        <f t="shared" si="0"/>
        <v>4.2827817968116279E-2</v>
      </c>
      <c r="G16" s="71">
        <f t="shared" si="0"/>
        <v>2.1577310845189861E-2</v>
      </c>
      <c r="H16" s="71">
        <f t="shared" si="0"/>
        <v>0.13066612510154346</v>
      </c>
      <c r="I16" s="71">
        <f t="shared" si="0"/>
        <v>9.7553422112109014E-3</v>
      </c>
      <c r="J16" s="71">
        <f t="shared" si="0"/>
        <v>6.2535181767008341E-2</v>
      </c>
      <c r="K16" s="71">
        <f t="shared" si="0"/>
        <v>0.16305453853834814</v>
      </c>
      <c r="L16" s="71">
        <f t="shared" si="0"/>
        <v>4.0771062330800092E-2</v>
      </c>
      <c r="M16" s="71">
        <f t="shared" si="0"/>
        <v>5.0183727034120738E-2</v>
      </c>
      <c r="N16" s="71">
        <f t="shared" si="0"/>
        <v>5.1023950017355088E-2</v>
      </c>
      <c r="O16" s="71">
        <f t="shared" si="0"/>
        <v>5.6047197640117993E-2</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0.16105518917042694</v>
      </c>
      <c r="O19" s="72">
        <f>O10/O9</f>
        <v>0.18584070796460178</v>
      </c>
    </row>
    <row r="20" spans="1:15" x14ac:dyDescent="0.25">
      <c r="A20" s="48" t="s">
        <v>59</v>
      </c>
      <c r="B20" s="72">
        <v>0.05</v>
      </c>
      <c r="C20" s="72"/>
      <c r="D20" s="72">
        <v>0.1</v>
      </c>
      <c r="E20" s="72"/>
      <c r="F20" s="72"/>
      <c r="G20" s="72"/>
      <c r="H20" s="72"/>
      <c r="I20" s="72"/>
      <c r="J20" s="72"/>
      <c r="K20" s="72"/>
      <c r="L20" s="72"/>
      <c r="M20" s="72"/>
      <c r="N20" s="72">
        <f>N11/N9</f>
        <v>5.1023950017355088E-2</v>
      </c>
      <c r="O20" s="72">
        <f>O11/O9</f>
        <v>8.2595870206489674E-2</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6.0459595959595962</v>
      </c>
      <c r="C24" s="66">
        <f t="shared" si="1"/>
        <v>6.7681388012618298</v>
      </c>
      <c r="D24" s="66">
        <f t="shared" si="1"/>
        <v>273.07374338624339</v>
      </c>
      <c r="E24" s="66">
        <f t="shared" si="1"/>
        <v>380.69652807543935</v>
      </c>
      <c r="F24" s="66">
        <f t="shared" si="1"/>
        <v>184.61797066014671</v>
      </c>
      <c r="G24" s="66">
        <f t="shared" si="1"/>
        <v>20.619778511754419</v>
      </c>
      <c r="H24" s="66">
        <f t="shared" si="1"/>
        <v>148.22396146899459</v>
      </c>
      <c r="I24" s="66">
        <f t="shared" si="1"/>
        <v>26.252032520325205</v>
      </c>
      <c r="J24" s="66">
        <f t="shared" si="1"/>
        <v>94.121488417939872</v>
      </c>
      <c r="K24" s="66">
        <f t="shared" si="1"/>
        <v>156.97118972981042</v>
      </c>
      <c r="L24" s="66">
        <f t="shared" si="1"/>
        <v>81.561585528065976</v>
      </c>
      <c r="M24" s="66">
        <f t="shared" si="1"/>
        <v>64.974416792363456</v>
      </c>
      <c r="N24" s="66">
        <f>N9/$N$6*100000</f>
        <v>98.327645051194537</v>
      </c>
      <c r="O24" s="66">
        <f>O9/$O$6*100000</f>
        <v>61.333654174080827</v>
      </c>
    </row>
    <row r="25" spans="1:15" x14ac:dyDescent="0.25">
      <c r="A25" s="48" t="s">
        <v>34</v>
      </c>
      <c r="B25" s="65"/>
      <c r="C25" s="65"/>
      <c r="D25" s="65"/>
      <c r="E25" s="65"/>
      <c r="F25" s="65"/>
      <c r="G25" s="65"/>
      <c r="H25" s="65"/>
      <c r="I25" s="65"/>
      <c r="J25" s="65"/>
      <c r="K25" s="65"/>
      <c r="L25" s="65"/>
      <c r="M25" s="65"/>
      <c r="N25" s="66">
        <f>N10/$N$6*100000</f>
        <v>15.83617747440273</v>
      </c>
      <c r="O25" s="66">
        <f>O10/$O$6*100000</f>
        <v>11.398289713767234</v>
      </c>
    </row>
    <row r="26" spans="1:15" x14ac:dyDescent="0.25">
      <c r="A26" s="48" t="s">
        <v>35</v>
      </c>
      <c r="B26" s="66">
        <f>B12/B6*100000</f>
        <v>0.24184704184704187</v>
      </c>
      <c r="C26" s="66">
        <f t="shared" ref="C26:O26" si="2">C12/C6*100000</f>
        <v>0.10725552050473186</v>
      </c>
      <c r="D26" s="66">
        <f t="shared" si="2"/>
        <v>5.9011243386243386</v>
      </c>
      <c r="E26" s="66">
        <f t="shared" si="2"/>
        <v>39.817831118731249</v>
      </c>
      <c r="F26" s="66">
        <f t="shared" si="2"/>
        <v>7.9067848410757939</v>
      </c>
      <c r="G26" s="66">
        <f t="shared" si="2"/>
        <v>0.44491937050709152</v>
      </c>
      <c r="H26" s="66">
        <f t="shared" si="2"/>
        <v>19.367850692354004</v>
      </c>
      <c r="I26" s="66">
        <f t="shared" si="2"/>
        <v>0.25609756097560976</v>
      </c>
      <c r="J26" s="66">
        <f t="shared" si="2"/>
        <v>5.8859043863972396</v>
      </c>
      <c r="K26" s="66">
        <f t="shared" si="2"/>
        <v>25.594864905209732</v>
      </c>
      <c r="L26" s="66">
        <f t="shared" si="2"/>
        <v>3.3253524873636606</v>
      </c>
      <c r="M26" s="66">
        <f t="shared" si="2"/>
        <v>3.2606583965091582</v>
      </c>
      <c r="N26" s="66">
        <f t="shared" si="2"/>
        <v>5.0170648464163827</v>
      </c>
      <c r="O26" s="66">
        <f t="shared" si="2"/>
        <v>3.4375794374853563</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2272.6762121212123</v>
      </c>
      <c r="C32" s="7">
        <f t="shared" si="3"/>
        <v>2544.1433753943215</v>
      </c>
      <c r="D32" s="7">
        <f t="shared" si="3"/>
        <v>102648.42013888889</v>
      </c>
      <c r="E32" s="7">
        <f t="shared" si="3"/>
        <v>143103.82490355763</v>
      </c>
      <c r="F32" s="7">
        <f t="shared" si="3"/>
        <v>69397.895171149154</v>
      </c>
      <c r="G32" s="7">
        <f t="shared" si="3"/>
        <v>7750.9747425684855</v>
      </c>
      <c r="H32" s="7">
        <f t="shared" si="3"/>
        <v>55717.387116195066</v>
      </c>
      <c r="I32" s="7">
        <f t="shared" si="3"/>
        <v>9868.1390243902442</v>
      </c>
      <c r="J32" s="7">
        <f t="shared" si="3"/>
        <v>35380.267496303597</v>
      </c>
      <c r="K32" s="7">
        <f t="shared" si="3"/>
        <v>59005.470219435738</v>
      </c>
      <c r="L32" s="7">
        <f t="shared" si="3"/>
        <v>30659</v>
      </c>
      <c r="M32" s="7">
        <f t="shared" si="3"/>
        <v>24423.883272249423</v>
      </c>
      <c r="N32" s="7">
        <f t="shared" si="3"/>
        <v>36961.361774744022</v>
      </c>
      <c r="O32" s="7">
        <f t="shared" si="3"/>
        <v>23055.320604036984</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90.910303030303041</v>
      </c>
      <c r="C34" s="7">
        <f t="shared" si="4"/>
        <v>40.317350157728704</v>
      </c>
      <c r="D34" s="7">
        <f t="shared" si="4"/>
        <v>2218.2326388888891</v>
      </c>
      <c r="E34" s="7">
        <f t="shared" si="4"/>
        <v>14967.522717531076</v>
      </c>
      <c r="F34" s="7">
        <f t="shared" si="4"/>
        <v>2972.1604217603908</v>
      </c>
      <c r="G34" s="7">
        <f t="shared" si="4"/>
        <v>167.24519137361568</v>
      </c>
      <c r="H34" s="7">
        <f t="shared" si="4"/>
        <v>7280.3750752558699</v>
      </c>
      <c r="I34" s="7">
        <f t="shared" si="4"/>
        <v>96.267073170731706</v>
      </c>
      <c r="J34" s="7">
        <f t="shared" si="4"/>
        <v>2212.5114588467222</v>
      </c>
      <c r="K34" s="7">
        <f t="shared" si="4"/>
        <v>9621.1097178683394</v>
      </c>
      <c r="L34" s="7">
        <f t="shared" si="4"/>
        <v>1250</v>
      </c>
      <c r="M34" s="7">
        <f t="shared" si="4"/>
        <v>1225.6814912477926</v>
      </c>
      <c r="N34" s="7">
        <f t="shared" si="4"/>
        <v>1885.9146757679182</v>
      </c>
      <c r="O34" s="7">
        <f t="shared" si="4"/>
        <v>1292.1861105507455</v>
      </c>
    </row>
    <row r="35" spans="1:15" hidden="1" x14ac:dyDescent="0.25"/>
    <row r="36" spans="1:15" hidden="1" x14ac:dyDescent="0.25">
      <c r="A36" t="s">
        <v>48</v>
      </c>
      <c r="B36" t="s">
        <v>75</v>
      </c>
    </row>
    <row r="37" spans="1:15" hidden="1" x14ac:dyDescent="0.25">
      <c r="A37" t="s">
        <v>50</v>
      </c>
      <c r="B37" s="7">
        <f>MIN($B$32:$M$32)</f>
        <v>2272.6762121212123</v>
      </c>
      <c r="C37" s="7"/>
    </row>
    <row r="38" spans="1:15" hidden="1" x14ac:dyDescent="0.25">
      <c r="A38" t="s">
        <v>51</v>
      </c>
      <c r="B38" s="7">
        <f>MAX(B32:M32)</f>
        <v>143103.82490355763</v>
      </c>
      <c r="C38">
        <f>B38*1.6%</f>
        <v>2289.6611984569222</v>
      </c>
      <c r="D38" t="s">
        <v>78</v>
      </c>
    </row>
    <row r="39" spans="1:15" hidden="1" x14ac:dyDescent="0.25"/>
    <row r="40" spans="1:15" hidden="1" x14ac:dyDescent="0.25">
      <c r="A40" t="s">
        <v>49</v>
      </c>
    </row>
    <row r="41" spans="1:15" hidden="1" x14ac:dyDescent="0.25">
      <c r="A41" t="s">
        <v>50</v>
      </c>
      <c r="B41" s="7">
        <f>MIN(B34:M34)</f>
        <v>40.317350157728704</v>
      </c>
    </row>
    <row r="42" spans="1:15" hidden="1" x14ac:dyDescent="0.25">
      <c r="A42" t="s">
        <v>51</v>
      </c>
      <c r="B42" s="7">
        <f>MAX($B$34:$M$34)</f>
        <v>14967.522717531076</v>
      </c>
      <c r="C42">
        <f>B42*1.6%</f>
        <v>239.4803634804972</v>
      </c>
      <c r="D42" t="s">
        <v>78</v>
      </c>
    </row>
    <row r="43" spans="1:15" hidden="1" x14ac:dyDescent="0.25">
      <c r="B43" s="7"/>
    </row>
    <row r="44" spans="1:15" hidden="1" x14ac:dyDescent="0.25">
      <c r="A44" t="s">
        <v>63</v>
      </c>
      <c r="B44" s="7" t="s">
        <v>65</v>
      </c>
      <c r="C44" t="s">
        <v>66</v>
      </c>
    </row>
    <row r="45" spans="1:15" hidden="1" x14ac:dyDescent="0.25">
      <c r="A45" t="s">
        <v>50</v>
      </c>
      <c r="B45" s="7">
        <f>B19*L9</f>
        <v>4598.8499999999995</v>
      </c>
      <c r="C45" s="7">
        <f>B37*B19</f>
        <v>340.90143181818183</v>
      </c>
    </row>
    <row r="46" spans="1:15" hidden="1" x14ac:dyDescent="0.25">
      <c r="A46" t="s">
        <v>51</v>
      </c>
      <c r="B46" s="7">
        <f>L9*D19</f>
        <v>17169.04</v>
      </c>
      <c r="C46" s="7">
        <f>B38*D19</f>
        <v>80138.141945992276</v>
      </c>
      <c r="D46">
        <f>C46*1.6%</f>
        <v>1282.2102711358764</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3065.9</v>
      </c>
      <c r="C50" s="7">
        <f>B38*D20</f>
        <v>14310.382490355763</v>
      </c>
      <c r="D50">
        <f>C50*1.6%</f>
        <v>228.96611984569222</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886.31446028282835</v>
      </c>
      <c r="C55" s="7">
        <f t="shared" si="5"/>
        <v>992.18315861198744</v>
      </c>
      <c r="D55" s="7">
        <f t="shared" si="5"/>
        <v>40031.562177248677</v>
      </c>
      <c r="E55" s="7">
        <f t="shared" si="5"/>
        <v>55808.649141191599</v>
      </c>
      <c r="F55" s="7">
        <f t="shared" si="5"/>
        <v>27064.285565770173</v>
      </c>
      <c r="G55" s="7">
        <f t="shared" si="5"/>
        <v>3022.7803498737126</v>
      </c>
      <c r="H55" s="7">
        <f t="shared" si="5"/>
        <v>21729.063571342565</v>
      </c>
      <c r="I55" s="7">
        <f t="shared" si="5"/>
        <v>3848.4471596747971</v>
      </c>
      <c r="J55" s="7">
        <f t="shared" si="5"/>
        <v>13797.848775554461</v>
      </c>
      <c r="K55" s="7">
        <f t="shared" si="5"/>
        <v>23011.373645021642</v>
      </c>
      <c r="L55" s="7">
        <f t="shared" si="5"/>
        <v>11956.615241926045</v>
      </c>
      <c r="M55" s="7">
        <f t="shared" si="5"/>
        <v>9525</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35.453847642135642</v>
      </c>
      <c r="C57" s="7">
        <f t="shared" si="6"/>
        <v>15.723247444794954</v>
      </c>
      <c r="D57" s="7">
        <f t="shared" si="6"/>
        <v>865.08216772486776</v>
      </c>
      <c r="E57" s="7">
        <f t="shared" si="6"/>
        <v>5837.1411415345046</v>
      </c>
      <c r="F57" s="7">
        <f t="shared" si="6"/>
        <v>1159.1042956479216</v>
      </c>
      <c r="G57" s="7">
        <f t="shared" si="6"/>
        <v>65.223471225956871</v>
      </c>
      <c r="H57" s="7">
        <f t="shared" si="6"/>
        <v>2839.252538952438</v>
      </c>
      <c r="I57" s="7">
        <f t="shared" si="6"/>
        <v>37.542919024390244</v>
      </c>
      <c r="J57" s="7">
        <f t="shared" si="6"/>
        <v>862.85098117299151</v>
      </c>
      <c r="K57" s="7">
        <f t="shared" si="6"/>
        <v>3752.1089108225106</v>
      </c>
      <c r="L57" s="7">
        <f t="shared" si="6"/>
        <v>487.48390529396119</v>
      </c>
      <c r="M57" s="7">
        <f t="shared" si="6"/>
        <v>478</v>
      </c>
      <c r="N57" s="7"/>
    </row>
    <row r="58" spans="1:14" hidden="1" x14ac:dyDescent="0.25"/>
    <row r="59" spans="1:14" hidden="1" x14ac:dyDescent="0.25">
      <c r="A59" t="s">
        <v>48</v>
      </c>
    </row>
    <row r="60" spans="1:14" hidden="1" x14ac:dyDescent="0.25">
      <c r="A60" t="s">
        <v>50</v>
      </c>
      <c r="B60" s="7">
        <f>MIN($B$55:$M$55)</f>
        <v>886.31446028282835</v>
      </c>
    </row>
    <row r="61" spans="1:14" hidden="1" x14ac:dyDescent="0.25">
      <c r="A61" t="s">
        <v>51</v>
      </c>
      <c r="B61" s="7">
        <f>MAX($B$55:$M$55)</f>
        <v>55808.649141191599</v>
      </c>
    </row>
    <row r="62" spans="1:14" hidden="1" x14ac:dyDescent="0.25"/>
    <row r="63" spans="1:14" hidden="1" x14ac:dyDescent="0.25">
      <c r="A63" t="s">
        <v>49</v>
      </c>
    </row>
    <row r="64" spans="1:14" hidden="1" x14ac:dyDescent="0.25">
      <c r="A64" t="s">
        <v>50</v>
      </c>
      <c r="B64" s="7">
        <f>MIN($B$57:$M$57)</f>
        <v>15.723247444794954</v>
      </c>
    </row>
    <row r="65" spans="1:14" hidden="1" x14ac:dyDescent="0.25">
      <c r="A65" t="s">
        <v>51</v>
      </c>
      <c r="B65" s="7">
        <f>MAX($B$57:$M$57)</f>
        <v>5837.1411415345046</v>
      </c>
    </row>
    <row r="66" spans="1:14" hidden="1" x14ac:dyDescent="0.25">
      <c r="B66" s="7"/>
    </row>
    <row r="67" spans="1:14" hidden="1" x14ac:dyDescent="0.25">
      <c r="A67" t="s">
        <v>63</v>
      </c>
      <c r="B67" s="7" t="s">
        <v>77</v>
      </c>
      <c r="C67" t="s">
        <v>76</v>
      </c>
    </row>
    <row r="68" spans="1:14" hidden="1" x14ac:dyDescent="0.25">
      <c r="A68" t="s">
        <v>50</v>
      </c>
      <c r="B68" s="7">
        <f>B19*M9</f>
        <v>1428.75</v>
      </c>
    </row>
    <row r="69" spans="1:14" hidden="1" x14ac:dyDescent="0.25">
      <c r="A69" t="s">
        <v>51</v>
      </c>
      <c r="B69" s="7">
        <f>D19*M9</f>
        <v>5334.0000000000009</v>
      </c>
      <c r="C69" s="7">
        <f>B61*D19</f>
        <v>31252.843519067297</v>
      </c>
    </row>
    <row r="70" spans="1:14" hidden="1" x14ac:dyDescent="0.25">
      <c r="B70" s="7"/>
    </row>
    <row r="71" spans="1:14" hidden="1" x14ac:dyDescent="0.25">
      <c r="A71" t="s">
        <v>64</v>
      </c>
      <c r="B71" s="7" t="s">
        <v>77</v>
      </c>
      <c r="C71" t="s">
        <v>76</v>
      </c>
    </row>
    <row r="72" spans="1:14" hidden="1" x14ac:dyDescent="0.25">
      <c r="A72" t="s">
        <v>50</v>
      </c>
      <c r="B72" s="7">
        <f>B20*M9</f>
        <v>476.25</v>
      </c>
    </row>
    <row r="73" spans="1:14" hidden="1" x14ac:dyDescent="0.25">
      <c r="A73" t="s">
        <v>51</v>
      </c>
      <c r="B73">
        <f>D20*M9</f>
        <v>952.5</v>
      </c>
      <c r="C73" s="7">
        <f>B61*D20</f>
        <v>5580.8649141191599</v>
      </c>
    </row>
    <row r="75" spans="1:14" x14ac:dyDescent="0.25">
      <c r="A75" s="10" t="s">
        <v>52</v>
      </c>
    </row>
    <row r="77" spans="1:14" x14ac:dyDescent="0.25">
      <c r="A77" s="48" t="s">
        <v>48</v>
      </c>
      <c r="B77" s="43">
        <f t="shared" ref="B77:M77" si="7">B24*$O$6/100000</f>
        <v>33.416895351010105</v>
      </c>
      <c r="C77" s="43">
        <f t="shared" si="7"/>
        <v>37.408484534700314</v>
      </c>
      <c r="D77" s="43">
        <f t="shared" si="7"/>
        <v>1509.3181753885583</v>
      </c>
      <c r="E77" s="43">
        <f t="shared" si="7"/>
        <v>2104.1649116695244</v>
      </c>
      <c r="F77" s="43">
        <f t="shared" si="7"/>
        <v>1020.4102934443766</v>
      </c>
      <c r="G77" s="43">
        <f t="shared" si="7"/>
        <v>113.96850570235088</v>
      </c>
      <c r="H77" s="43">
        <f t="shared" si="7"/>
        <v>819.25532751354604</v>
      </c>
      <c r="I77" s="43">
        <f t="shared" si="7"/>
        <v>145.09879028455285</v>
      </c>
      <c r="J77" s="43">
        <f t="shared" si="7"/>
        <v>520.22311410177429</v>
      </c>
      <c r="K77" s="43">
        <f t="shared" si="7"/>
        <v>867.60252645917296</v>
      </c>
      <c r="L77" s="43">
        <f t="shared" si="7"/>
        <v>450.80270964352218</v>
      </c>
      <c r="M77" s="43">
        <f t="shared" si="7"/>
        <v>359.12302290182771</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1.3367236681096681</v>
      </c>
      <c r="C79" s="43">
        <f t="shared" si="8"/>
        <v>0.59281681388012619</v>
      </c>
      <c r="D79" s="43">
        <f t="shared" si="8"/>
        <v>32.616369882605824</v>
      </c>
      <c r="E79" s="43">
        <f t="shared" si="8"/>
        <v>220.07892617873981</v>
      </c>
      <c r="F79" s="43">
        <f t="shared" si="8"/>
        <v>43.701946300427871</v>
      </c>
      <c r="G79" s="43">
        <f t="shared" si="8"/>
        <v>2.4591338741014184</v>
      </c>
      <c r="H79" s="43">
        <f t="shared" si="8"/>
        <v>107.04891911499098</v>
      </c>
      <c r="I79" s="43">
        <f t="shared" si="8"/>
        <v>1.4154883536585365</v>
      </c>
      <c r="J79" s="43">
        <f t="shared" si="8"/>
        <v>32.532246999753568</v>
      </c>
      <c r="K79" s="43">
        <f t="shared" si="8"/>
        <v>141.46652958650543</v>
      </c>
      <c r="L79" s="43">
        <f t="shared" si="8"/>
        <v>18.379705373769617</v>
      </c>
      <c r="M79" s="43">
        <f t="shared" si="8"/>
        <v>18.02213175297361</v>
      </c>
      <c r="N79" s="7"/>
    </row>
    <row r="81" spans="1:3" x14ac:dyDescent="0.25">
      <c r="A81" s="65" t="s">
        <v>48</v>
      </c>
      <c r="B81" s="65" t="s">
        <v>72</v>
      </c>
      <c r="C81" s="65" t="s">
        <v>73</v>
      </c>
    </row>
    <row r="82" spans="1:3" x14ac:dyDescent="0.25">
      <c r="A82" s="65" t="s">
        <v>50</v>
      </c>
      <c r="B82" s="66">
        <f>MIN($B$77:$M$77)</f>
        <v>33.416895351010105</v>
      </c>
      <c r="C82" s="66">
        <f>MIN($C$77:$M$77)</f>
        <v>37.408484534700314</v>
      </c>
    </row>
    <row r="83" spans="1:3" x14ac:dyDescent="0.25">
      <c r="A83" s="65" t="s">
        <v>51</v>
      </c>
      <c r="B83" s="66">
        <f>MAX($B$77:$M$77)</f>
        <v>2104.1649116695244</v>
      </c>
      <c r="C83" s="66">
        <f>MAX($C$77:$M$77)</f>
        <v>2104.1649116695244</v>
      </c>
    </row>
    <row r="84" spans="1:3" x14ac:dyDescent="0.25">
      <c r="A84" s="65"/>
      <c r="B84" s="65"/>
      <c r="C84" s="65"/>
    </row>
    <row r="85" spans="1:3" x14ac:dyDescent="0.25">
      <c r="A85" s="65" t="s">
        <v>49</v>
      </c>
      <c r="B85" s="65"/>
      <c r="C85" s="65"/>
    </row>
    <row r="86" spans="1:3" x14ac:dyDescent="0.25">
      <c r="A86" s="65" t="s">
        <v>50</v>
      </c>
      <c r="B86" s="66">
        <f>MIN($B$79:$M$79)</f>
        <v>0.59281681388012619</v>
      </c>
      <c r="C86" s="66">
        <f>MIN($C$79:$M$79)</f>
        <v>0.59281681388012619</v>
      </c>
    </row>
    <row r="87" spans="1:3" x14ac:dyDescent="0.25">
      <c r="A87" s="65" t="s">
        <v>51</v>
      </c>
      <c r="B87" s="66">
        <f>MAX($B$79:$M$79)</f>
        <v>220.07892617873981</v>
      </c>
      <c r="C87" s="66">
        <f>MAX($C$79:$M$79)</f>
        <v>220.07892617873981</v>
      </c>
    </row>
    <row r="88" spans="1:3" x14ac:dyDescent="0.25">
      <c r="A88" s="65"/>
      <c r="B88" s="65"/>
      <c r="C88" s="65"/>
    </row>
    <row r="89" spans="1:3" x14ac:dyDescent="0.25">
      <c r="A89" s="65" t="s">
        <v>27</v>
      </c>
      <c r="B89" s="65"/>
      <c r="C89" s="65"/>
    </row>
    <row r="90" spans="1:3" x14ac:dyDescent="0.25">
      <c r="A90" s="65" t="s">
        <v>50</v>
      </c>
      <c r="B90" s="66">
        <f>B82*$D$19</f>
        <v>18.713461396565659</v>
      </c>
      <c r="C90" s="66">
        <f>C82*$D$19</f>
        <v>20.948751339432178</v>
      </c>
    </row>
    <row r="91" spans="1:3" x14ac:dyDescent="0.25">
      <c r="A91" s="65" t="s">
        <v>51</v>
      </c>
      <c r="B91" s="66">
        <f>B83*$D$19</f>
        <v>1178.3323505349338</v>
      </c>
      <c r="C91" s="66">
        <f>C83*$D$19</f>
        <v>1178.3323505349338</v>
      </c>
    </row>
    <row r="92" spans="1:3" x14ac:dyDescent="0.25">
      <c r="A92" s="65"/>
      <c r="B92" s="66"/>
      <c r="C92" s="65"/>
    </row>
    <row r="93" spans="1:3" x14ac:dyDescent="0.25">
      <c r="A93" s="65" t="s">
        <v>62</v>
      </c>
      <c r="B93" s="66"/>
      <c r="C93" s="65"/>
    </row>
    <row r="94" spans="1:3" x14ac:dyDescent="0.25">
      <c r="A94" s="65" t="s">
        <v>50</v>
      </c>
      <c r="B94" s="66">
        <f>B82*$D$20</f>
        <v>3.3416895351010107</v>
      </c>
      <c r="C94" s="66">
        <f>C82*$D$20</f>
        <v>3.7408484534700315</v>
      </c>
    </row>
    <row r="95" spans="1:3" x14ac:dyDescent="0.25">
      <c r="A95" s="65" t="s">
        <v>51</v>
      </c>
      <c r="B95" s="66">
        <f>B83*$D$20</f>
        <v>210.41649116695245</v>
      </c>
      <c r="C95" s="66">
        <f>C83*$D$20</f>
        <v>210.41649116695245</v>
      </c>
    </row>
  </sheetData>
  <hyperlinks>
    <hyperlink ref="D18" r:id="rId1" xr:uid="{EBE80964-3C96-4A16-AD2C-32B2460AA593}"/>
    <hyperlink ref="B18" r:id="rId2" xr:uid="{26D650DA-FE49-4CF2-A37A-1571787400F1}"/>
    <hyperlink ref="B1" r:id="rId3" xr:uid="{BB7E1A7B-B794-4483-8719-C100751D0DB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886B9-33DA-48F4-8035-7B7B9C80627C}">
  <dimension ref="A1:P95"/>
  <sheetViews>
    <sheetView zoomScaleNormal="100" workbookViewId="0">
      <selection activeCell="B4" sqref="B4"/>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43940</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155</v>
      </c>
      <c r="C4" s="54">
        <v>95</v>
      </c>
      <c r="D4" s="54">
        <v>80</v>
      </c>
      <c r="E4" s="54">
        <v>80</v>
      </c>
      <c r="F4" s="54">
        <v>90</v>
      </c>
      <c r="G4" s="54">
        <v>90</v>
      </c>
      <c r="H4" s="54">
        <v>80</v>
      </c>
      <c r="I4" s="54">
        <v>86</v>
      </c>
      <c r="J4" s="54">
        <v>61</v>
      </c>
      <c r="K4" s="57">
        <v>61</v>
      </c>
      <c r="L4" s="62">
        <v>86</v>
      </c>
      <c r="M4" s="54">
        <v>86</v>
      </c>
      <c r="N4" s="54">
        <v>86</v>
      </c>
      <c r="O4" s="67">
        <v>46</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84201</v>
      </c>
      <c r="C9" s="54">
        <v>10361</v>
      </c>
      <c r="D9" s="54">
        <v>175925</v>
      </c>
      <c r="E9" s="54">
        <v>191726</v>
      </c>
      <c r="F9" s="54">
        <v>695353</v>
      </c>
      <c r="G9" s="54">
        <v>10661</v>
      </c>
      <c r="H9" s="54">
        <v>114221</v>
      </c>
      <c r="I9" s="54">
        <v>6586</v>
      </c>
      <c r="J9" s="54">
        <v>80868</v>
      </c>
      <c r="K9" s="57">
        <v>110721</v>
      </c>
      <c r="L9" s="62">
        <v>35383</v>
      </c>
      <c r="M9" s="54">
        <v>11184</v>
      </c>
      <c r="N9" s="54">
        <v>3546</v>
      </c>
      <c r="O9" s="67">
        <v>339</v>
      </c>
      <c r="P9" s="1"/>
    </row>
    <row r="10" spans="1:16" x14ac:dyDescent="0.25">
      <c r="A10" s="48" t="s">
        <v>34</v>
      </c>
      <c r="B10" s="54"/>
      <c r="C10" s="54"/>
      <c r="D10" s="54"/>
      <c r="E10" s="54"/>
      <c r="F10" s="54"/>
      <c r="G10" s="54"/>
      <c r="H10" s="54"/>
      <c r="I10" s="54"/>
      <c r="J10" s="54"/>
      <c r="K10" s="57"/>
      <c r="L10" s="62"/>
      <c r="M10" s="54"/>
      <c r="N10" s="54">
        <v>541</v>
      </c>
      <c r="O10" s="67">
        <v>66</v>
      </c>
    </row>
    <row r="11" spans="1:16" x14ac:dyDescent="0.25">
      <c r="A11" s="48" t="s">
        <v>123</v>
      </c>
      <c r="B11" s="54"/>
      <c r="C11" s="54"/>
      <c r="D11" s="54"/>
      <c r="E11" s="54"/>
      <c r="F11" s="54"/>
      <c r="G11" s="54"/>
      <c r="H11" s="54"/>
      <c r="I11" s="54"/>
      <c r="J11" s="54"/>
      <c r="K11" s="57"/>
      <c r="L11" s="62"/>
      <c r="M11" s="54"/>
      <c r="N11" s="54">
        <v>164</v>
      </c>
      <c r="O11" s="67">
        <v>27</v>
      </c>
    </row>
    <row r="12" spans="1:16" x14ac:dyDescent="0.25">
      <c r="A12" s="48" t="s">
        <v>35</v>
      </c>
      <c r="B12" s="54">
        <v>4642</v>
      </c>
      <c r="C12" s="54">
        <v>161</v>
      </c>
      <c r="D12" s="54">
        <v>23227</v>
      </c>
      <c r="E12" s="54">
        <v>20043</v>
      </c>
      <c r="F12" s="54">
        <v>32427</v>
      </c>
      <c r="G12" s="54">
        <v>234</v>
      </c>
      <c r="H12" s="54">
        <v>15464</v>
      </c>
      <c r="I12" s="54">
        <v>69</v>
      </c>
      <c r="J12" s="54">
        <v>5031</v>
      </c>
      <c r="K12" s="57">
        <v>19294</v>
      </c>
      <c r="L12" s="62">
        <v>1611</v>
      </c>
      <c r="M12" s="54">
        <v>584</v>
      </c>
      <c r="N12" s="54">
        <v>173</v>
      </c>
      <c r="O12" s="67">
        <v>27</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5.5129986579731831E-2</v>
      </c>
      <c r="C16" s="71">
        <f t="shared" ref="C16:O16" si="0">C12/C9</f>
        <v>1.5539040633143519E-2</v>
      </c>
      <c r="D16" s="71">
        <f t="shared" si="0"/>
        <v>0.13202785277817253</v>
      </c>
      <c r="E16" s="71">
        <f t="shared" si="0"/>
        <v>0.10453981202340841</v>
      </c>
      <c r="F16" s="71">
        <f t="shared" si="0"/>
        <v>4.6633867977847222E-2</v>
      </c>
      <c r="G16" s="71">
        <f t="shared" si="0"/>
        <v>2.1949160491511115E-2</v>
      </c>
      <c r="H16" s="71">
        <f t="shared" si="0"/>
        <v>0.1353866626977526</v>
      </c>
      <c r="I16" s="71">
        <f t="shared" si="0"/>
        <v>1.0476768903735195E-2</v>
      </c>
      <c r="J16" s="71">
        <f t="shared" si="0"/>
        <v>6.2212494435376166E-2</v>
      </c>
      <c r="K16" s="71">
        <f t="shared" si="0"/>
        <v>0.1742578192032225</v>
      </c>
      <c r="L16" s="71">
        <f t="shared" si="0"/>
        <v>4.5530339428539131E-2</v>
      </c>
      <c r="M16" s="71">
        <f t="shared" si="0"/>
        <v>5.2217453505007151E-2</v>
      </c>
      <c r="N16" s="71">
        <f t="shared" si="0"/>
        <v>4.8787366046249295E-2</v>
      </c>
      <c r="O16" s="71">
        <f t="shared" si="0"/>
        <v>7.9646017699115043E-2</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0.15256627185561195</v>
      </c>
      <c r="O19" s="72">
        <f>O10/O9</f>
        <v>0.19469026548672566</v>
      </c>
    </row>
    <row r="20" spans="1:15" x14ac:dyDescent="0.25">
      <c r="A20" s="48" t="s">
        <v>59</v>
      </c>
      <c r="B20" s="72">
        <v>0.05</v>
      </c>
      <c r="C20" s="72"/>
      <c r="D20" s="72">
        <v>0.1</v>
      </c>
      <c r="E20" s="72"/>
      <c r="F20" s="72"/>
      <c r="G20" s="72"/>
      <c r="H20" s="72"/>
      <c r="I20" s="72"/>
      <c r="J20" s="72"/>
      <c r="K20" s="72"/>
      <c r="L20" s="72"/>
      <c r="M20" s="72"/>
      <c r="N20" s="72">
        <f>N11/N9</f>
        <v>4.6249294980259446E-2</v>
      </c>
      <c r="O20" s="72">
        <f>O11/O9</f>
        <v>7.9646017699115043E-2</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6.0751082251082247</v>
      </c>
      <c r="C24" s="66">
        <f t="shared" si="1"/>
        <v>8.1711356466876968</v>
      </c>
      <c r="D24" s="66">
        <f t="shared" si="1"/>
        <v>290.88128306878309</v>
      </c>
      <c r="E24" s="66">
        <f t="shared" si="1"/>
        <v>410.9001285897985</v>
      </c>
      <c r="F24" s="66">
        <f t="shared" si="1"/>
        <v>212.5161980440098</v>
      </c>
      <c r="G24" s="66">
        <f t="shared" si="1"/>
        <v>20.713036720419662</v>
      </c>
      <c r="H24" s="66">
        <f t="shared" si="1"/>
        <v>171.91601444912703</v>
      </c>
      <c r="I24" s="66">
        <f t="shared" si="1"/>
        <v>26.772357723577233</v>
      </c>
      <c r="J24" s="66">
        <f t="shared" si="1"/>
        <v>99.640216855593891</v>
      </c>
      <c r="K24" s="66">
        <f t="shared" si="1"/>
        <v>165.27989252127182</v>
      </c>
      <c r="L24" s="66">
        <f t="shared" si="1"/>
        <v>94.128757648310724</v>
      </c>
      <c r="M24" s="66">
        <f t="shared" si="1"/>
        <v>76.291220725017624</v>
      </c>
      <c r="N24" s="66">
        <f>N9/$N$6*100000</f>
        <v>121.02389078498294</v>
      </c>
      <c r="O24" s="66">
        <f>O9/$O$6*100000</f>
        <v>61.333654174080827</v>
      </c>
    </row>
    <row r="25" spans="1:15" x14ac:dyDescent="0.25">
      <c r="A25" s="48" t="s">
        <v>34</v>
      </c>
      <c r="B25" s="65"/>
      <c r="C25" s="65"/>
      <c r="D25" s="65"/>
      <c r="E25" s="65"/>
      <c r="F25" s="65"/>
      <c r="G25" s="65"/>
      <c r="H25" s="65"/>
      <c r="I25" s="65"/>
      <c r="J25" s="65"/>
      <c r="K25" s="65"/>
      <c r="L25" s="65"/>
      <c r="M25" s="65"/>
      <c r="N25" s="66">
        <f>N10/$N$6*100000</f>
        <v>18.464163822525595</v>
      </c>
      <c r="O25" s="66">
        <f>O10/$O$6*100000</f>
        <v>11.941065414422818</v>
      </c>
    </row>
    <row r="26" spans="1:15" x14ac:dyDescent="0.25">
      <c r="A26" s="48" t="s">
        <v>35</v>
      </c>
      <c r="B26" s="66">
        <f>B12/B6*100000</f>
        <v>0.3349206349206349</v>
      </c>
      <c r="C26" s="66">
        <f t="shared" ref="C26:O26" si="2">C12/C6*100000</f>
        <v>0.12697160883280759</v>
      </c>
      <c r="D26" s="66">
        <f t="shared" si="2"/>
        <v>38.404431216931215</v>
      </c>
      <c r="E26" s="66">
        <f t="shared" si="2"/>
        <v>42.955422203171885</v>
      </c>
      <c r="F26" s="66">
        <f t="shared" si="2"/>
        <v>9.9104523227383865</v>
      </c>
      <c r="G26" s="66">
        <f t="shared" si="2"/>
        <v>0.45463376724305421</v>
      </c>
      <c r="H26" s="66">
        <f t="shared" si="2"/>
        <v>23.275135460565924</v>
      </c>
      <c r="I26" s="66">
        <f t="shared" si="2"/>
        <v>0.28048780487804881</v>
      </c>
      <c r="J26" s="66">
        <f t="shared" si="2"/>
        <v>6.1988664366683093</v>
      </c>
      <c r="K26" s="66">
        <f t="shared" si="2"/>
        <v>28.801313628899837</v>
      </c>
      <c r="L26" s="66">
        <f t="shared" si="2"/>
        <v>4.2857142857142856</v>
      </c>
      <c r="M26" s="66">
        <f t="shared" si="2"/>
        <v>3.9837332710488456</v>
      </c>
      <c r="N26" s="66">
        <f t="shared" si="2"/>
        <v>5.9044368600682597</v>
      </c>
      <c r="O26" s="66">
        <f t="shared" si="2"/>
        <v>4.8849813059002436</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2283.6331818181816</v>
      </c>
      <c r="C32" s="7">
        <f t="shared" si="3"/>
        <v>3071.529889589905</v>
      </c>
      <c r="D32" s="7">
        <f t="shared" si="3"/>
        <v>109342.27430555558</v>
      </c>
      <c r="E32" s="7">
        <f t="shared" si="3"/>
        <v>154457.35833690525</v>
      </c>
      <c r="F32" s="7">
        <f t="shared" si="3"/>
        <v>79884.838844743281</v>
      </c>
      <c r="G32" s="7">
        <f t="shared" si="3"/>
        <v>7786.0305032057513</v>
      </c>
      <c r="H32" s="7">
        <f t="shared" si="3"/>
        <v>64623.229831426848</v>
      </c>
      <c r="I32" s="7">
        <f t="shared" si="3"/>
        <v>10063.729268292682</v>
      </c>
      <c r="J32" s="7">
        <f t="shared" si="3"/>
        <v>37454.757516017744</v>
      </c>
      <c r="K32" s="7">
        <f t="shared" si="3"/>
        <v>62128.711598746078</v>
      </c>
      <c r="L32" s="7">
        <f t="shared" si="3"/>
        <v>35383</v>
      </c>
      <c r="M32" s="7">
        <f t="shared" si="3"/>
        <v>28677.869870534123</v>
      </c>
      <c r="N32" s="7">
        <f t="shared" si="3"/>
        <v>45492.880546075088</v>
      </c>
      <c r="O32" s="7">
        <f t="shared" si="3"/>
        <v>23055.320604036984</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125.89666666666666</v>
      </c>
      <c r="C34" s="7">
        <f t="shared" si="4"/>
        <v>47.728627760252373</v>
      </c>
      <c r="D34" s="7">
        <f t="shared" si="4"/>
        <v>14436.225694444443</v>
      </c>
      <c r="E34" s="7">
        <f t="shared" si="4"/>
        <v>16146.943206172311</v>
      </c>
      <c r="F34" s="7">
        <f t="shared" si="4"/>
        <v>3725.3390281173592</v>
      </c>
      <c r="G34" s="7">
        <f t="shared" si="4"/>
        <v>170.89683310666408</v>
      </c>
      <c r="H34" s="7">
        <f t="shared" si="4"/>
        <v>8749.1234196267305</v>
      </c>
      <c r="I34" s="7">
        <f t="shared" si="4"/>
        <v>105.43536585365854</v>
      </c>
      <c r="J34" s="7">
        <f t="shared" si="4"/>
        <v>2330.1538935436174</v>
      </c>
      <c r="K34" s="7">
        <f t="shared" si="4"/>
        <v>10826.413793103449</v>
      </c>
      <c r="L34" s="7">
        <f t="shared" si="4"/>
        <v>1611</v>
      </c>
      <c r="M34" s="7">
        <f t="shared" si="4"/>
        <v>1497.4853365872609</v>
      </c>
      <c r="N34" s="7">
        <f t="shared" si="4"/>
        <v>2219.4778156996585</v>
      </c>
      <c r="O34" s="7">
        <f t="shared" si="4"/>
        <v>1836.2644728879018</v>
      </c>
    </row>
    <row r="35" spans="1:15" hidden="1" x14ac:dyDescent="0.25"/>
    <row r="36" spans="1:15" hidden="1" x14ac:dyDescent="0.25">
      <c r="A36" t="s">
        <v>48</v>
      </c>
      <c r="B36" t="s">
        <v>75</v>
      </c>
    </row>
    <row r="37" spans="1:15" hidden="1" x14ac:dyDescent="0.25">
      <c r="A37" t="s">
        <v>50</v>
      </c>
      <c r="B37" s="7">
        <f>MIN($B$32:$M$32)</f>
        <v>2283.6331818181816</v>
      </c>
      <c r="C37" s="7"/>
    </row>
    <row r="38" spans="1:15" hidden="1" x14ac:dyDescent="0.25">
      <c r="A38" t="s">
        <v>51</v>
      </c>
      <c r="B38" s="7">
        <f>MAX(B32:M32)</f>
        <v>154457.35833690525</v>
      </c>
      <c r="C38">
        <f>B38*1.6%</f>
        <v>2471.3177333904841</v>
      </c>
      <c r="D38" t="s">
        <v>78</v>
      </c>
    </row>
    <row r="39" spans="1:15" hidden="1" x14ac:dyDescent="0.25"/>
    <row r="40" spans="1:15" hidden="1" x14ac:dyDescent="0.25">
      <c r="A40" t="s">
        <v>49</v>
      </c>
    </row>
    <row r="41" spans="1:15" hidden="1" x14ac:dyDescent="0.25">
      <c r="A41" t="s">
        <v>50</v>
      </c>
      <c r="B41" s="7">
        <f>MIN(B34:M34)</f>
        <v>47.728627760252373</v>
      </c>
    </row>
    <row r="42" spans="1:15" hidden="1" x14ac:dyDescent="0.25">
      <c r="A42" t="s">
        <v>51</v>
      </c>
      <c r="B42" s="7">
        <f>MAX($B$34:$M$34)</f>
        <v>16146.943206172311</v>
      </c>
      <c r="C42">
        <f>B42*1.6%</f>
        <v>258.35109129875696</v>
      </c>
      <c r="D42" t="s">
        <v>78</v>
      </c>
    </row>
    <row r="43" spans="1:15" hidden="1" x14ac:dyDescent="0.25">
      <c r="B43" s="7"/>
    </row>
    <row r="44" spans="1:15" hidden="1" x14ac:dyDescent="0.25">
      <c r="A44" t="s">
        <v>63</v>
      </c>
      <c r="B44" s="7" t="s">
        <v>65</v>
      </c>
      <c r="C44" t="s">
        <v>66</v>
      </c>
    </row>
    <row r="45" spans="1:15" hidden="1" x14ac:dyDescent="0.25">
      <c r="A45" t="s">
        <v>50</v>
      </c>
      <c r="B45" s="7">
        <f>B19*L9</f>
        <v>5307.45</v>
      </c>
      <c r="C45" s="7">
        <f>B37*B19</f>
        <v>342.54497727272724</v>
      </c>
    </row>
    <row r="46" spans="1:15" hidden="1" x14ac:dyDescent="0.25">
      <c r="A46" t="s">
        <v>51</v>
      </c>
      <c r="B46" s="7">
        <f>L9*D19</f>
        <v>19814.480000000003</v>
      </c>
      <c r="C46" s="7">
        <f>B38*D19</f>
        <v>86496.120668666947</v>
      </c>
      <c r="D46">
        <f>C46*1.6%</f>
        <v>1383.9379306986712</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3538.3</v>
      </c>
      <c r="C50" s="7">
        <f>B38*D20</f>
        <v>15445.735833690525</v>
      </c>
      <c r="D50">
        <f>C50*1.6%</f>
        <v>247.13177333904841</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890.58753738528128</v>
      </c>
      <c r="C55" s="7">
        <f t="shared" si="5"/>
        <v>1197.8571086435329</v>
      </c>
      <c r="D55" s="7">
        <f t="shared" si="5"/>
        <v>42642.079113756619</v>
      </c>
      <c r="E55" s="7">
        <f t="shared" si="5"/>
        <v>60236.380994770676</v>
      </c>
      <c r="F55" s="7">
        <f t="shared" si="5"/>
        <v>31154.058571051348</v>
      </c>
      <c r="G55" s="7">
        <f t="shared" si="5"/>
        <v>3036.4516451525164</v>
      </c>
      <c r="H55" s="7">
        <f t="shared" si="5"/>
        <v>25202.227560746534</v>
      </c>
      <c r="I55" s="7">
        <f t="shared" si="5"/>
        <v>3924.7248364227639</v>
      </c>
      <c r="J55" s="7">
        <f t="shared" si="5"/>
        <v>14606.873172597339</v>
      </c>
      <c r="K55" s="7">
        <f t="shared" si="5"/>
        <v>24229.397568831166</v>
      </c>
      <c r="L55" s="7">
        <f t="shared" si="5"/>
        <v>13798.914416812982</v>
      </c>
      <c r="M55" s="7">
        <f t="shared" si="5"/>
        <v>11184</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49.098078984126978</v>
      </c>
      <c r="C57" s="7">
        <f t="shared" si="6"/>
        <v>18.613550283911675</v>
      </c>
      <c r="D57" s="7">
        <f t="shared" si="6"/>
        <v>5629.9421433862435</v>
      </c>
      <c r="E57" s="7">
        <f t="shared" si="6"/>
        <v>6297.0999461637375</v>
      </c>
      <c r="F57" s="7">
        <f t="shared" si="6"/>
        <v>1452.8342543765282</v>
      </c>
      <c r="G57" s="7">
        <f t="shared" si="6"/>
        <v>66.647564484165528</v>
      </c>
      <c r="H57" s="7">
        <f t="shared" si="6"/>
        <v>3412.0454819987958</v>
      </c>
      <c r="I57" s="7">
        <f t="shared" si="6"/>
        <v>41.118435121951222</v>
      </c>
      <c r="J57" s="7">
        <f t="shared" si="6"/>
        <v>908.73001596845734</v>
      </c>
      <c r="K57" s="7">
        <f t="shared" si="6"/>
        <v>4222.1619809523818</v>
      </c>
      <c r="L57" s="7">
        <f t="shared" si="6"/>
        <v>628.2692571428571</v>
      </c>
      <c r="M57" s="7">
        <f t="shared" si="6"/>
        <v>583.99999999999989</v>
      </c>
      <c r="N57" s="7"/>
    </row>
    <row r="58" spans="1:14" hidden="1" x14ac:dyDescent="0.25"/>
    <row r="59" spans="1:14" hidden="1" x14ac:dyDescent="0.25">
      <c r="A59" t="s">
        <v>48</v>
      </c>
    </row>
    <row r="60" spans="1:14" hidden="1" x14ac:dyDescent="0.25">
      <c r="A60" t="s">
        <v>50</v>
      </c>
      <c r="B60" s="7">
        <f>MIN($B$55:$M$55)</f>
        <v>890.58753738528128</v>
      </c>
    </row>
    <row r="61" spans="1:14" hidden="1" x14ac:dyDescent="0.25">
      <c r="A61" t="s">
        <v>51</v>
      </c>
      <c r="B61" s="7">
        <f>MAX($B$55:$M$55)</f>
        <v>60236.380994770676</v>
      </c>
    </row>
    <row r="62" spans="1:14" hidden="1" x14ac:dyDescent="0.25"/>
    <row r="63" spans="1:14" hidden="1" x14ac:dyDescent="0.25">
      <c r="A63" t="s">
        <v>49</v>
      </c>
    </row>
    <row r="64" spans="1:14" hidden="1" x14ac:dyDescent="0.25">
      <c r="A64" t="s">
        <v>50</v>
      </c>
      <c r="B64" s="7">
        <f>MIN($B$57:$M$57)</f>
        <v>18.613550283911675</v>
      </c>
    </row>
    <row r="65" spans="1:14" hidden="1" x14ac:dyDescent="0.25">
      <c r="A65" t="s">
        <v>51</v>
      </c>
      <c r="B65" s="7">
        <f>MAX($B$57:$M$57)</f>
        <v>6297.0999461637375</v>
      </c>
    </row>
    <row r="66" spans="1:14" hidden="1" x14ac:dyDescent="0.25">
      <c r="B66" s="7"/>
    </row>
    <row r="67" spans="1:14" hidden="1" x14ac:dyDescent="0.25">
      <c r="A67" t="s">
        <v>63</v>
      </c>
      <c r="B67" s="7" t="s">
        <v>77</v>
      </c>
      <c r="C67" t="s">
        <v>76</v>
      </c>
    </row>
    <row r="68" spans="1:14" hidden="1" x14ac:dyDescent="0.25">
      <c r="A68" t="s">
        <v>50</v>
      </c>
      <c r="B68" s="7">
        <f>B19*M9</f>
        <v>1677.6</v>
      </c>
    </row>
    <row r="69" spans="1:14" hidden="1" x14ac:dyDescent="0.25">
      <c r="A69" t="s">
        <v>51</v>
      </c>
      <c r="B69" s="7">
        <f>D19*M9</f>
        <v>6263.0400000000009</v>
      </c>
      <c r="C69" s="7">
        <f>B61*D19</f>
        <v>33732.373357071585</v>
      </c>
    </row>
    <row r="70" spans="1:14" hidden="1" x14ac:dyDescent="0.25">
      <c r="B70" s="7"/>
    </row>
    <row r="71" spans="1:14" hidden="1" x14ac:dyDescent="0.25">
      <c r="A71" t="s">
        <v>64</v>
      </c>
      <c r="B71" s="7" t="s">
        <v>77</v>
      </c>
      <c r="C71" t="s">
        <v>76</v>
      </c>
    </row>
    <row r="72" spans="1:14" hidden="1" x14ac:dyDescent="0.25">
      <c r="A72" t="s">
        <v>50</v>
      </c>
      <c r="B72" s="7">
        <f>B20*M9</f>
        <v>559.20000000000005</v>
      </c>
    </row>
    <row r="73" spans="1:14" hidden="1" x14ac:dyDescent="0.25">
      <c r="A73" t="s">
        <v>51</v>
      </c>
      <c r="B73">
        <f>D20*M9</f>
        <v>1118.4000000000001</v>
      </c>
      <c r="C73" s="7">
        <f>B61*D20</f>
        <v>6023.638099477068</v>
      </c>
    </row>
    <row r="75" spans="1:14" x14ac:dyDescent="0.25">
      <c r="A75" s="10" t="s">
        <v>52</v>
      </c>
    </row>
    <row r="77" spans="1:14" x14ac:dyDescent="0.25">
      <c r="A77" s="48" t="s">
        <v>48</v>
      </c>
      <c r="B77" s="43">
        <f t="shared" ref="B77:M77" si="7">B24*$O$6/100000</f>
        <v>33.5780040508658</v>
      </c>
      <c r="C77" s="43">
        <f t="shared" si="7"/>
        <v>45.163051533911663</v>
      </c>
      <c r="D77" s="43">
        <f t="shared" si="7"/>
        <v>1607.7430293072093</v>
      </c>
      <c r="E77" s="43">
        <f t="shared" si="7"/>
        <v>2271.1045912344621</v>
      </c>
      <c r="F77" s="43">
        <f t="shared" si="7"/>
        <v>1174.6078414379585</v>
      </c>
      <c r="G77" s="43">
        <f t="shared" si="7"/>
        <v>114.48395734408393</v>
      </c>
      <c r="H77" s="43">
        <f t="shared" si="7"/>
        <v>950.20473968242015</v>
      </c>
      <c r="I77" s="43">
        <f t="shared" si="7"/>
        <v>147.97470313008128</v>
      </c>
      <c r="J77" s="43">
        <f t="shared" si="7"/>
        <v>550.72592639231152</v>
      </c>
      <c r="K77" s="43">
        <f t="shared" si="7"/>
        <v>913.52593154948488</v>
      </c>
      <c r="L77" s="43">
        <f t="shared" si="7"/>
        <v>520.2632921920723</v>
      </c>
      <c r="M77" s="43">
        <f t="shared" si="7"/>
        <v>421.6726391741775</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1.8511549126984126</v>
      </c>
      <c r="C79" s="43">
        <f t="shared" si="8"/>
        <v>0.70179049290220841</v>
      </c>
      <c r="D79" s="43">
        <f t="shared" si="8"/>
        <v>212.26685997850529</v>
      </c>
      <c r="E79" s="43">
        <f t="shared" si="8"/>
        <v>237.42084705315045</v>
      </c>
      <c r="F79" s="43">
        <f t="shared" si="8"/>
        <v>54.776507003361864</v>
      </c>
      <c r="G79" s="43">
        <f t="shared" si="8"/>
        <v>2.5128267534486106</v>
      </c>
      <c r="H79" s="43">
        <f t="shared" si="8"/>
        <v>128.64504858518964</v>
      </c>
      <c r="I79" s="43">
        <f t="shared" si="8"/>
        <v>1.5502967682926831</v>
      </c>
      <c r="J79" s="43">
        <f t="shared" si="8"/>
        <v>34.262033631099065</v>
      </c>
      <c r="K79" s="43">
        <f t="shared" si="8"/>
        <v>159.18903661740561</v>
      </c>
      <c r="L79" s="43">
        <f t="shared" si="8"/>
        <v>23.687764285714287</v>
      </c>
      <c r="M79" s="43">
        <f t="shared" si="8"/>
        <v>22.018671430411274</v>
      </c>
      <c r="N79" s="7"/>
    </row>
    <row r="81" spans="1:3" x14ac:dyDescent="0.25">
      <c r="A81" s="65" t="s">
        <v>48</v>
      </c>
      <c r="B81" s="65" t="s">
        <v>72</v>
      </c>
      <c r="C81" s="65" t="s">
        <v>73</v>
      </c>
    </row>
    <row r="82" spans="1:3" x14ac:dyDescent="0.25">
      <c r="A82" s="65" t="s">
        <v>50</v>
      </c>
      <c r="B82" s="66">
        <f>MIN($B$77:$M$77)</f>
        <v>33.5780040508658</v>
      </c>
      <c r="C82" s="66">
        <f>MIN($C$77:$M$77)</f>
        <v>45.163051533911663</v>
      </c>
    </row>
    <row r="83" spans="1:3" x14ac:dyDescent="0.25">
      <c r="A83" s="65" t="s">
        <v>51</v>
      </c>
      <c r="B83" s="66">
        <f>MAX($B$77:$M$77)</f>
        <v>2271.1045912344621</v>
      </c>
      <c r="C83" s="66">
        <f>MAX($C$77:$M$77)</f>
        <v>2271.1045912344621</v>
      </c>
    </row>
    <row r="84" spans="1:3" x14ac:dyDescent="0.25">
      <c r="A84" s="65"/>
      <c r="B84" s="65"/>
      <c r="C84" s="65"/>
    </row>
    <row r="85" spans="1:3" x14ac:dyDescent="0.25">
      <c r="A85" s="65" t="s">
        <v>49</v>
      </c>
      <c r="B85" s="65"/>
      <c r="C85" s="65"/>
    </row>
    <row r="86" spans="1:3" x14ac:dyDescent="0.25">
      <c r="A86" s="65" t="s">
        <v>50</v>
      </c>
      <c r="B86" s="66">
        <f>MIN($B$79:$M$79)</f>
        <v>0.70179049290220841</v>
      </c>
      <c r="C86" s="66">
        <f>MIN($C$79:$M$79)</f>
        <v>0.70179049290220841</v>
      </c>
    </row>
    <row r="87" spans="1:3" x14ac:dyDescent="0.25">
      <c r="A87" s="65" t="s">
        <v>51</v>
      </c>
      <c r="B87" s="66">
        <f>MAX($B$79:$M$79)</f>
        <v>237.42084705315045</v>
      </c>
      <c r="C87" s="66">
        <f>MAX($C$79:$M$79)</f>
        <v>237.42084705315045</v>
      </c>
    </row>
    <row r="88" spans="1:3" x14ac:dyDescent="0.25">
      <c r="A88" s="65"/>
      <c r="B88" s="65"/>
      <c r="C88" s="65"/>
    </row>
    <row r="89" spans="1:3" x14ac:dyDescent="0.25">
      <c r="A89" s="65" t="s">
        <v>27</v>
      </c>
      <c r="B89" s="65"/>
      <c r="C89" s="65"/>
    </row>
    <row r="90" spans="1:3" x14ac:dyDescent="0.25">
      <c r="A90" s="65" t="s">
        <v>50</v>
      </c>
      <c r="B90" s="66">
        <f>B82*$D$19</f>
        <v>18.803682268484849</v>
      </c>
      <c r="C90" s="66">
        <f>C82*$D$19</f>
        <v>25.291308858990533</v>
      </c>
    </row>
    <row r="91" spans="1:3" x14ac:dyDescent="0.25">
      <c r="A91" s="65" t="s">
        <v>51</v>
      </c>
      <c r="B91" s="66">
        <f>B83*$D$19</f>
        <v>1271.818571091299</v>
      </c>
      <c r="C91" s="66">
        <f>C83*$D$19</f>
        <v>1271.818571091299</v>
      </c>
    </row>
    <row r="92" spans="1:3" x14ac:dyDescent="0.25">
      <c r="A92" s="65"/>
      <c r="B92" s="66"/>
      <c r="C92" s="65"/>
    </row>
    <row r="93" spans="1:3" x14ac:dyDescent="0.25">
      <c r="A93" s="65" t="s">
        <v>62</v>
      </c>
      <c r="B93" s="66"/>
      <c r="C93" s="65"/>
    </row>
    <row r="94" spans="1:3" x14ac:dyDescent="0.25">
      <c r="A94" s="65" t="s">
        <v>50</v>
      </c>
      <c r="B94" s="66">
        <f>B82*$D$20</f>
        <v>3.3578004050865804</v>
      </c>
      <c r="C94" s="66">
        <f>C82*$D$20</f>
        <v>4.5163051533911664</v>
      </c>
    </row>
    <row r="95" spans="1:3" x14ac:dyDescent="0.25">
      <c r="A95" s="65" t="s">
        <v>51</v>
      </c>
      <c r="B95" s="66">
        <f>B83*$D$20</f>
        <v>227.11045912344622</v>
      </c>
      <c r="C95" s="66">
        <f>C83*$D$20</f>
        <v>227.11045912344622</v>
      </c>
    </row>
  </sheetData>
  <hyperlinks>
    <hyperlink ref="D18" r:id="rId1" xr:uid="{A4D7B4FE-8A6B-4A0A-ABBF-C7DA5AB5955E}"/>
    <hyperlink ref="B18" r:id="rId2" xr:uid="{DF0ADFE1-89F3-43D2-9B2D-7036841CDF79}"/>
    <hyperlink ref="B1" r:id="rId3" xr:uid="{1C470560-72C0-4E31-B8C4-C549B2759E8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33:E53"/>
  <sheetViews>
    <sheetView workbookViewId="0">
      <selection activeCell="B25" sqref="B25"/>
    </sheetView>
  </sheetViews>
  <sheetFormatPr defaultRowHeight="15" x14ac:dyDescent="0.25"/>
  <cols>
    <col min="2" max="2" width="12" bestFit="1" customWidth="1"/>
  </cols>
  <sheetData>
    <row r="33" spans="2:5" x14ac:dyDescent="0.25">
      <c r="B33" t="s">
        <v>92</v>
      </c>
    </row>
    <row r="34" spans="2:5" x14ac:dyDescent="0.25">
      <c r="B34" t="s">
        <v>80</v>
      </c>
    </row>
    <row r="35" spans="2:5" x14ac:dyDescent="0.25">
      <c r="B35" t="s">
        <v>83</v>
      </c>
      <c r="C35" t="s">
        <v>81</v>
      </c>
      <c r="E35" s="11" t="s">
        <v>86</v>
      </c>
    </row>
    <row r="36" spans="2:5" x14ac:dyDescent="0.25">
      <c r="B36" t="s">
        <v>82</v>
      </c>
      <c r="C36" s="3" t="s">
        <v>84</v>
      </c>
    </row>
    <row r="38" spans="2:5" x14ac:dyDescent="0.25">
      <c r="B38" t="s">
        <v>85</v>
      </c>
      <c r="C38" s="4">
        <v>0.92</v>
      </c>
    </row>
    <row r="49" spans="2:4" x14ac:dyDescent="0.25">
      <c r="B49" t="s">
        <v>119</v>
      </c>
      <c r="C49" s="3">
        <v>43908</v>
      </c>
    </row>
    <row r="50" spans="2:4" x14ac:dyDescent="0.25">
      <c r="C50" t="s">
        <v>95</v>
      </c>
    </row>
    <row r="51" spans="2:4" x14ac:dyDescent="0.25">
      <c r="B51" t="s">
        <v>96</v>
      </c>
      <c r="C51">
        <v>102</v>
      </c>
    </row>
    <row r="52" spans="2:4" x14ac:dyDescent="0.25">
      <c r="B52" t="s">
        <v>97</v>
      </c>
      <c r="C52">
        <v>6</v>
      </c>
      <c r="D52" s="1">
        <f>C52/C51</f>
        <v>5.8823529411764705E-2</v>
      </c>
    </row>
    <row r="53" spans="2:4" x14ac:dyDescent="0.25">
      <c r="B53" t="s">
        <v>98</v>
      </c>
      <c r="C53">
        <v>4</v>
      </c>
      <c r="D53" s="1">
        <f>C53/C51</f>
        <v>3.9215686274509803E-2</v>
      </c>
    </row>
  </sheetData>
  <hyperlinks>
    <hyperlink ref="E35" r:id="rId1" xr:uid="{8E91D3F9-3424-4697-B26F-C8AAE4F5C7F6}"/>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A6C7-697D-4023-88DD-F272FD45C563}">
  <sheetPr codeName="Sheet3"/>
  <dimension ref="A1:T126"/>
  <sheetViews>
    <sheetView zoomScale="85" zoomScaleNormal="85" workbookViewId="0">
      <selection activeCell="B2" sqref="B2"/>
    </sheetView>
  </sheetViews>
  <sheetFormatPr defaultRowHeight="15" x14ac:dyDescent="0.25"/>
  <cols>
    <col min="1" max="1" width="14.5703125" bestFit="1" customWidth="1"/>
    <col min="2" max="2" width="24" style="7" bestFit="1" customWidth="1"/>
    <col min="3" max="3" width="9.42578125" style="7" bestFit="1" customWidth="1"/>
    <col min="4" max="4" width="8.7109375" bestFit="1" customWidth="1"/>
    <col min="5" max="5" width="13.85546875" bestFit="1" customWidth="1"/>
    <col min="6" max="6" width="20" bestFit="1" customWidth="1"/>
  </cols>
  <sheetData>
    <row r="1" spans="1:20" x14ac:dyDescent="0.25">
      <c r="A1" s="11" t="s">
        <v>99</v>
      </c>
    </row>
    <row r="2" spans="1:20" x14ac:dyDescent="0.25">
      <c r="A2" t="s">
        <v>88</v>
      </c>
      <c r="B2" s="45">
        <v>43946</v>
      </c>
    </row>
    <row r="3" spans="1:20" x14ac:dyDescent="0.25">
      <c r="A3" t="s">
        <v>31</v>
      </c>
      <c r="B3" s="12"/>
    </row>
    <row r="4" spans="1:20" x14ac:dyDescent="0.25">
      <c r="A4" s="48"/>
      <c r="B4" s="46" t="s">
        <v>22</v>
      </c>
      <c r="C4" s="46" t="s">
        <v>23</v>
      </c>
      <c r="D4" s="49" t="s">
        <v>25</v>
      </c>
      <c r="E4" s="49" t="s">
        <v>120</v>
      </c>
      <c r="F4" s="31"/>
      <c r="G4" s="31"/>
    </row>
    <row r="5" spans="1:20" x14ac:dyDescent="0.25">
      <c r="A5" s="42">
        <v>43831</v>
      </c>
      <c r="B5" s="69"/>
      <c r="C5" s="43"/>
      <c r="D5" s="48"/>
      <c r="E5" s="48"/>
    </row>
    <row r="6" spans="1:20" x14ac:dyDescent="0.25">
      <c r="A6" s="42">
        <f>A5+1</f>
        <v>43832</v>
      </c>
      <c r="B6" s="69"/>
      <c r="C6" s="43"/>
      <c r="D6" s="48"/>
      <c r="E6" s="48"/>
    </row>
    <row r="7" spans="1:20" x14ac:dyDescent="0.25">
      <c r="A7" s="42">
        <f t="shared" ref="A7:A70" si="0">A6+1</f>
        <v>43833</v>
      </c>
      <c r="B7" s="69"/>
      <c r="C7" s="43"/>
      <c r="D7" s="48"/>
      <c r="E7" s="48"/>
      <c r="S7" s="3"/>
    </row>
    <row r="8" spans="1:20" x14ac:dyDescent="0.25">
      <c r="A8" s="42">
        <f t="shared" si="0"/>
        <v>43834</v>
      </c>
      <c r="B8" s="69"/>
      <c r="C8" s="43"/>
      <c r="D8" s="48"/>
      <c r="E8" s="48"/>
    </row>
    <row r="9" spans="1:20" x14ac:dyDescent="0.25">
      <c r="A9" s="42">
        <f t="shared" si="0"/>
        <v>43835</v>
      </c>
      <c r="B9" s="69"/>
      <c r="C9" s="43"/>
      <c r="D9" s="48"/>
      <c r="E9" s="48"/>
    </row>
    <row r="10" spans="1:20" x14ac:dyDescent="0.25">
      <c r="A10" s="42">
        <f t="shared" si="0"/>
        <v>43836</v>
      </c>
      <c r="B10" s="69"/>
      <c r="C10" s="43"/>
      <c r="D10" s="48"/>
      <c r="E10" s="48"/>
      <c r="T10" s="1"/>
    </row>
    <row r="11" spans="1:20" x14ac:dyDescent="0.25">
      <c r="A11" s="42">
        <f t="shared" si="0"/>
        <v>43837</v>
      </c>
      <c r="B11" s="69"/>
      <c r="C11" s="43"/>
      <c r="D11" s="48"/>
      <c r="E11" s="48"/>
      <c r="T11" s="1"/>
    </row>
    <row r="12" spans="1:20" x14ac:dyDescent="0.25">
      <c r="A12" s="42">
        <f t="shared" si="0"/>
        <v>43838</v>
      </c>
      <c r="B12" s="69"/>
      <c r="C12" s="43"/>
      <c r="D12" s="48"/>
      <c r="E12" s="48"/>
    </row>
    <row r="13" spans="1:20" x14ac:dyDescent="0.25">
      <c r="A13" s="42">
        <f t="shared" si="0"/>
        <v>43839</v>
      </c>
      <c r="B13" s="69"/>
      <c r="C13" s="43"/>
      <c r="D13" s="48"/>
      <c r="E13" s="48"/>
    </row>
    <row r="14" spans="1:20" x14ac:dyDescent="0.25">
      <c r="A14" s="42">
        <f t="shared" si="0"/>
        <v>43840</v>
      </c>
      <c r="B14" s="69"/>
      <c r="C14" s="43"/>
      <c r="D14" s="48"/>
      <c r="E14" s="48"/>
    </row>
    <row r="15" spans="1:20" x14ac:dyDescent="0.25">
      <c r="A15" s="42">
        <f t="shared" si="0"/>
        <v>43841</v>
      </c>
      <c r="B15" s="69"/>
      <c r="C15" s="43"/>
      <c r="D15" s="48"/>
      <c r="E15" s="48"/>
    </row>
    <row r="16" spans="1:20" x14ac:dyDescent="0.25">
      <c r="A16" s="42">
        <f t="shared" si="0"/>
        <v>43842</v>
      </c>
      <c r="B16" s="69"/>
      <c r="C16" s="43"/>
      <c r="D16" s="48"/>
      <c r="E16" s="48"/>
    </row>
    <row r="17" spans="1:5" x14ac:dyDescent="0.25">
      <c r="A17" s="42">
        <f t="shared" si="0"/>
        <v>43843</v>
      </c>
      <c r="B17" s="69"/>
      <c r="C17" s="43"/>
      <c r="D17" s="48"/>
      <c r="E17" s="48"/>
    </row>
    <row r="18" spans="1:5" x14ac:dyDescent="0.25">
      <c r="A18" s="42">
        <f t="shared" si="0"/>
        <v>43844</v>
      </c>
      <c r="B18" s="69"/>
      <c r="C18" s="43"/>
      <c r="D18" s="48"/>
      <c r="E18" s="48"/>
    </row>
    <row r="19" spans="1:5" x14ac:dyDescent="0.25">
      <c r="A19" s="42">
        <f t="shared" si="0"/>
        <v>43845</v>
      </c>
      <c r="B19" s="69"/>
      <c r="C19" s="43"/>
      <c r="D19" s="48"/>
      <c r="E19" s="48"/>
    </row>
    <row r="20" spans="1:5" x14ac:dyDescent="0.25">
      <c r="A20" s="42">
        <f t="shared" si="0"/>
        <v>43846</v>
      </c>
      <c r="B20" s="69"/>
      <c r="C20" s="43"/>
      <c r="D20" s="48"/>
      <c r="E20" s="48"/>
    </row>
    <row r="21" spans="1:5" x14ac:dyDescent="0.25">
      <c r="A21" s="42">
        <f t="shared" si="0"/>
        <v>43847</v>
      </c>
      <c r="B21" s="69"/>
      <c r="C21" s="43"/>
      <c r="D21" s="48"/>
      <c r="E21" s="48"/>
    </row>
    <row r="22" spans="1:5" x14ac:dyDescent="0.25">
      <c r="A22" s="42">
        <f t="shared" si="0"/>
        <v>43848</v>
      </c>
      <c r="B22" s="69"/>
      <c r="C22" s="43"/>
      <c r="D22" s="48"/>
      <c r="E22" s="48"/>
    </row>
    <row r="23" spans="1:5" x14ac:dyDescent="0.25">
      <c r="A23" s="42">
        <f t="shared" si="0"/>
        <v>43849</v>
      </c>
      <c r="B23" s="69"/>
      <c r="C23" s="43"/>
      <c r="D23" s="48"/>
      <c r="E23" s="48"/>
    </row>
    <row r="24" spans="1:5" x14ac:dyDescent="0.25">
      <c r="A24" s="42">
        <f t="shared" si="0"/>
        <v>43850</v>
      </c>
      <c r="B24" s="69"/>
      <c r="C24" s="43"/>
      <c r="D24" s="48"/>
      <c r="E24" s="48"/>
    </row>
    <row r="25" spans="1:5" x14ac:dyDescent="0.25">
      <c r="A25" s="42">
        <f t="shared" si="0"/>
        <v>43851</v>
      </c>
      <c r="B25" s="69"/>
      <c r="C25" s="43"/>
      <c r="D25" s="48"/>
      <c r="E25" s="48"/>
    </row>
    <row r="26" spans="1:5" x14ac:dyDescent="0.25">
      <c r="A26" s="42">
        <f t="shared" si="0"/>
        <v>43852</v>
      </c>
      <c r="B26" s="69"/>
      <c r="C26" s="43"/>
      <c r="D26" s="48"/>
      <c r="E26" s="48"/>
    </row>
    <row r="27" spans="1:5" x14ac:dyDescent="0.25">
      <c r="A27" s="42">
        <f t="shared" si="0"/>
        <v>43853</v>
      </c>
      <c r="B27" s="69"/>
      <c r="C27" s="43"/>
      <c r="D27" s="48"/>
      <c r="E27" s="48"/>
    </row>
    <row r="28" spans="1:5" x14ac:dyDescent="0.25">
      <c r="A28" s="42">
        <f t="shared" si="0"/>
        <v>43854</v>
      </c>
      <c r="B28" s="69"/>
      <c r="C28" s="43"/>
      <c r="D28" s="48"/>
      <c r="E28" s="48"/>
    </row>
    <row r="29" spans="1:5" x14ac:dyDescent="0.25">
      <c r="A29" s="42">
        <f t="shared" si="0"/>
        <v>43855</v>
      </c>
      <c r="B29" s="69"/>
      <c r="C29" s="43"/>
      <c r="D29" s="48"/>
      <c r="E29" s="48"/>
    </row>
    <row r="30" spans="1:5" x14ac:dyDescent="0.25">
      <c r="A30" s="42">
        <f t="shared" si="0"/>
        <v>43856</v>
      </c>
      <c r="B30" s="69">
        <v>1</v>
      </c>
      <c r="C30" s="43"/>
      <c r="D30" s="44"/>
      <c r="E30" s="48"/>
    </row>
    <row r="31" spans="1:5" x14ac:dyDescent="0.25">
      <c r="A31" s="42">
        <f t="shared" si="0"/>
        <v>43857</v>
      </c>
      <c r="B31" s="69">
        <v>2</v>
      </c>
      <c r="C31" s="43">
        <v>2</v>
      </c>
      <c r="D31" s="44">
        <f t="shared" ref="D31:D62" si="1">B31/B30-1</f>
        <v>1</v>
      </c>
      <c r="E31" s="44">
        <f>AVERAGE(D18:D31)</f>
        <v>1</v>
      </c>
    </row>
    <row r="32" spans="1:5" x14ac:dyDescent="0.25">
      <c r="A32" s="42">
        <f t="shared" si="0"/>
        <v>43858</v>
      </c>
      <c r="B32" s="69">
        <v>2</v>
      </c>
      <c r="C32" s="43">
        <v>1</v>
      </c>
      <c r="D32" s="44">
        <f t="shared" si="1"/>
        <v>0</v>
      </c>
      <c r="E32" s="44">
        <f t="shared" ref="E32:E82" si="2">AVERAGE(D19:D32)</f>
        <v>0.5</v>
      </c>
    </row>
    <row r="33" spans="1:5" x14ac:dyDescent="0.25">
      <c r="A33" s="42">
        <f t="shared" si="0"/>
        <v>43859</v>
      </c>
      <c r="B33" s="69">
        <v>2</v>
      </c>
      <c r="C33" s="43">
        <v>1</v>
      </c>
      <c r="D33" s="44">
        <f t="shared" si="1"/>
        <v>0</v>
      </c>
      <c r="E33" s="44">
        <f t="shared" si="2"/>
        <v>0.33333333333333331</v>
      </c>
    </row>
    <row r="34" spans="1:5" x14ac:dyDescent="0.25">
      <c r="A34" s="42">
        <f t="shared" si="0"/>
        <v>43860</v>
      </c>
      <c r="B34" s="69">
        <v>2</v>
      </c>
      <c r="C34" s="43">
        <v>1</v>
      </c>
      <c r="D34" s="44">
        <f t="shared" si="1"/>
        <v>0</v>
      </c>
      <c r="E34" s="44">
        <f t="shared" si="2"/>
        <v>0.25</v>
      </c>
    </row>
    <row r="35" spans="1:5" x14ac:dyDescent="0.25">
      <c r="A35" s="42">
        <f t="shared" si="0"/>
        <v>43861</v>
      </c>
      <c r="B35" s="69">
        <v>3</v>
      </c>
      <c r="C35" s="43">
        <v>1</v>
      </c>
      <c r="D35" s="44">
        <f t="shared" si="1"/>
        <v>0.5</v>
      </c>
      <c r="E35" s="44">
        <f t="shared" si="2"/>
        <v>0.3</v>
      </c>
    </row>
    <row r="36" spans="1:5" x14ac:dyDescent="0.25">
      <c r="A36" s="42">
        <f t="shared" si="0"/>
        <v>43862</v>
      </c>
      <c r="B36" s="69">
        <v>3</v>
      </c>
      <c r="C36" s="43">
        <v>1</v>
      </c>
      <c r="D36" s="44">
        <f t="shared" si="1"/>
        <v>0</v>
      </c>
      <c r="E36" s="44">
        <f t="shared" si="2"/>
        <v>0.25</v>
      </c>
    </row>
    <row r="37" spans="1:5" x14ac:dyDescent="0.25">
      <c r="A37" s="42">
        <f t="shared" si="0"/>
        <v>43863</v>
      </c>
      <c r="B37" s="69">
        <v>3</v>
      </c>
      <c r="C37" s="43">
        <v>1</v>
      </c>
      <c r="D37" s="44">
        <f t="shared" si="1"/>
        <v>0</v>
      </c>
      <c r="E37" s="44">
        <f t="shared" si="2"/>
        <v>0.21428571428571427</v>
      </c>
    </row>
    <row r="38" spans="1:5" x14ac:dyDescent="0.25">
      <c r="A38" s="42">
        <f t="shared" si="0"/>
        <v>43864</v>
      </c>
      <c r="B38" s="69">
        <v>3</v>
      </c>
      <c r="C38" s="43">
        <v>1</v>
      </c>
      <c r="D38" s="44">
        <f t="shared" si="1"/>
        <v>0</v>
      </c>
      <c r="E38" s="44">
        <f t="shared" si="2"/>
        <v>0.1875</v>
      </c>
    </row>
    <row r="39" spans="1:5" x14ac:dyDescent="0.25">
      <c r="A39" s="42">
        <f t="shared" si="0"/>
        <v>43865</v>
      </c>
      <c r="B39" s="69">
        <v>3</v>
      </c>
      <c r="C39" s="43">
        <v>1</v>
      </c>
      <c r="D39" s="44">
        <f t="shared" si="1"/>
        <v>0</v>
      </c>
      <c r="E39" s="44">
        <f t="shared" si="2"/>
        <v>0.16666666666666666</v>
      </c>
    </row>
    <row r="40" spans="1:5" x14ac:dyDescent="0.25">
      <c r="A40" s="42">
        <f t="shared" si="0"/>
        <v>43866</v>
      </c>
      <c r="B40" s="69">
        <v>3</v>
      </c>
      <c r="C40" s="43">
        <v>1</v>
      </c>
      <c r="D40" s="44">
        <f t="shared" si="1"/>
        <v>0</v>
      </c>
      <c r="E40" s="44">
        <f t="shared" si="2"/>
        <v>0.15</v>
      </c>
    </row>
    <row r="41" spans="1:5" x14ac:dyDescent="0.25">
      <c r="A41" s="42">
        <f t="shared" si="0"/>
        <v>43867</v>
      </c>
      <c r="B41" s="69">
        <v>3</v>
      </c>
      <c r="C41" s="43">
        <v>1</v>
      </c>
      <c r="D41" s="44">
        <f t="shared" si="1"/>
        <v>0</v>
      </c>
      <c r="E41" s="44">
        <f t="shared" si="2"/>
        <v>0.13636363636363635</v>
      </c>
    </row>
    <row r="42" spans="1:5" x14ac:dyDescent="0.25">
      <c r="A42" s="42">
        <f t="shared" si="0"/>
        <v>43868</v>
      </c>
      <c r="B42" s="69">
        <v>3</v>
      </c>
      <c r="C42" s="43">
        <v>1</v>
      </c>
      <c r="D42" s="44">
        <f t="shared" si="1"/>
        <v>0</v>
      </c>
      <c r="E42" s="44">
        <f t="shared" si="2"/>
        <v>0.125</v>
      </c>
    </row>
    <row r="43" spans="1:5" x14ac:dyDescent="0.25">
      <c r="A43" s="42">
        <f t="shared" si="0"/>
        <v>43869</v>
      </c>
      <c r="B43" s="69">
        <v>3</v>
      </c>
      <c r="C43" s="43">
        <v>1</v>
      </c>
      <c r="D43" s="44">
        <f t="shared" si="1"/>
        <v>0</v>
      </c>
      <c r="E43" s="44">
        <f t="shared" si="2"/>
        <v>0.11538461538461539</v>
      </c>
    </row>
    <row r="44" spans="1:5" x14ac:dyDescent="0.25">
      <c r="A44" s="42">
        <f t="shared" si="0"/>
        <v>43870</v>
      </c>
      <c r="B44" s="69">
        <v>3</v>
      </c>
      <c r="C44" s="43">
        <v>1</v>
      </c>
      <c r="D44" s="44">
        <f t="shared" si="1"/>
        <v>0</v>
      </c>
      <c r="E44" s="44">
        <f t="shared" si="2"/>
        <v>0.10714285714285714</v>
      </c>
    </row>
    <row r="45" spans="1:5" x14ac:dyDescent="0.25">
      <c r="A45" s="42">
        <f t="shared" si="0"/>
        <v>43871</v>
      </c>
      <c r="B45" s="69">
        <v>3</v>
      </c>
      <c r="C45" s="43">
        <v>1</v>
      </c>
      <c r="D45" s="44">
        <f t="shared" si="1"/>
        <v>0</v>
      </c>
      <c r="E45" s="44">
        <f t="shared" si="2"/>
        <v>3.5714285714285712E-2</v>
      </c>
    </row>
    <row r="46" spans="1:5" x14ac:dyDescent="0.25">
      <c r="A46" s="42">
        <f t="shared" si="0"/>
        <v>43872</v>
      </c>
      <c r="B46" s="69">
        <v>3</v>
      </c>
      <c r="C46" s="43">
        <v>1</v>
      </c>
      <c r="D46" s="44">
        <f t="shared" si="1"/>
        <v>0</v>
      </c>
      <c r="E46" s="44">
        <f t="shared" si="2"/>
        <v>3.5714285714285712E-2</v>
      </c>
    </row>
    <row r="47" spans="1:5" x14ac:dyDescent="0.25">
      <c r="A47" s="42">
        <f t="shared" si="0"/>
        <v>43873</v>
      </c>
      <c r="B47" s="69">
        <v>3</v>
      </c>
      <c r="C47" s="43">
        <v>1</v>
      </c>
      <c r="D47" s="44">
        <f t="shared" si="1"/>
        <v>0</v>
      </c>
      <c r="E47" s="44">
        <f t="shared" si="2"/>
        <v>3.5714285714285712E-2</v>
      </c>
    </row>
    <row r="48" spans="1:5" x14ac:dyDescent="0.25">
      <c r="A48" s="42">
        <f t="shared" si="0"/>
        <v>43874</v>
      </c>
      <c r="B48" s="69">
        <v>3</v>
      </c>
      <c r="C48" s="43">
        <v>1</v>
      </c>
      <c r="D48" s="44">
        <f t="shared" si="1"/>
        <v>0</v>
      </c>
      <c r="E48" s="44">
        <f t="shared" si="2"/>
        <v>3.5714285714285712E-2</v>
      </c>
    </row>
    <row r="49" spans="1:5" x14ac:dyDescent="0.25">
      <c r="A49" s="42">
        <f t="shared" si="0"/>
        <v>43875</v>
      </c>
      <c r="B49" s="69">
        <v>3</v>
      </c>
      <c r="C49" s="43">
        <v>1</v>
      </c>
      <c r="D49" s="44">
        <f t="shared" si="1"/>
        <v>0</v>
      </c>
      <c r="E49" s="44">
        <f t="shared" si="2"/>
        <v>0</v>
      </c>
    </row>
    <row r="50" spans="1:5" x14ac:dyDescent="0.25">
      <c r="A50" s="42">
        <f t="shared" si="0"/>
        <v>43876</v>
      </c>
      <c r="B50" s="69">
        <v>3</v>
      </c>
      <c r="C50" s="43">
        <v>1</v>
      </c>
      <c r="D50" s="44">
        <f t="shared" si="1"/>
        <v>0</v>
      </c>
      <c r="E50" s="44">
        <f t="shared" si="2"/>
        <v>0</v>
      </c>
    </row>
    <row r="51" spans="1:5" x14ac:dyDescent="0.25">
      <c r="A51" s="42">
        <f t="shared" si="0"/>
        <v>43877</v>
      </c>
      <c r="B51" s="69">
        <v>3</v>
      </c>
      <c r="C51" s="43">
        <v>1</v>
      </c>
      <c r="D51" s="44">
        <f t="shared" si="1"/>
        <v>0</v>
      </c>
      <c r="E51" s="44">
        <f t="shared" si="2"/>
        <v>0</v>
      </c>
    </row>
    <row r="52" spans="1:5" x14ac:dyDescent="0.25">
      <c r="A52" s="42">
        <f t="shared" si="0"/>
        <v>43878</v>
      </c>
      <c r="B52" s="69">
        <v>3</v>
      </c>
      <c r="C52" s="43">
        <v>1</v>
      </c>
      <c r="D52" s="44">
        <f t="shared" si="1"/>
        <v>0</v>
      </c>
      <c r="E52" s="44">
        <f t="shared" si="2"/>
        <v>0</v>
      </c>
    </row>
    <row r="53" spans="1:5" x14ac:dyDescent="0.25">
      <c r="A53" s="42">
        <f t="shared" si="0"/>
        <v>43879</v>
      </c>
      <c r="B53" s="69">
        <v>3</v>
      </c>
      <c r="C53" s="43">
        <v>1</v>
      </c>
      <c r="D53" s="44">
        <f t="shared" si="1"/>
        <v>0</v>
      </c>
      <c r="E53" s="44">
        <f t="shared" si="2"/>
        <v>0</v>
      </c>
    </row>
    <row r="54" spans="1:5" x14ac:dyDescent="0.25">
      <c r="A54" s="42">
        <f t="shared" si="0"/>
        <v>43880</v>
      </c>
      <c r="B54" s="69">
        <v>3</v>
      </c>
      <c r="C54" s="43">
        <v>1</v>
      </c>
      <c r="D54" s="44">
        <f t="shared" si="1"/>
        <v>0</v>
      </c>
      <c r="E54" s="44">
        <f t="shared" si="2"/>
        <v>0</v>
      </c>
    </row>
    <row r="55" spans="1:5" x14ac:dyDescent="0.25">
      <c r="A55" s="42">
        <f t="shared" si="0"/>
        <v>43881</v>
      </c>
      <c r="B55" s="69">
        <v>3</v>
      </c>
      <c r="C55" s="43">
        <v>1</v>
      </c>
      <c r="D55" s="44">
        <f t="shared" si="1"/>
        <v>0</v>
      </c>
      <c r="E55" s="44">
        <f t="shared" si="2"/>
        <v>0</v>
      </c>
    </row>
    <row r="56" spans="1:5" x14ac:dyDescent="0.25">
      <c r="A56" s="42">
        <f t="shared" si="0"/>
        <v>43882</v>
      </c>
      <c r="B56" s="69">
        <v>3</v>
      </c>
      <c r="C56" s="43">
        <v>1</v>
      </c>
      <c r="D56" s="44">
        <f t="shared" si="1"/>
        <v>0</v>
      </c>
      <c r="E56" s="44">
        <f t="shared" si="2"/>
        <v>0</v>
      </c>
    </row>
    <row r="57" spans="1:5" x14ac:dyDescent="0.25">
      <c r="A57" s="42">
        <f t="shared" si="0"/>
        <v>43883</v>
      </c>
      <c r="B57" s="69">
        <v>3</v>
      </c>
      <c r="C57" s="43">
        <v>1</v>
      </c>
      <c r="D57" s="44">
        <f t="shared" si="1"/>
        <v>0</v>
      </c>
      <c r="E57" s="44">
        <f t="shared" si="2"/>
        <v>0</v>
      </c>
    </row>
    <row r="58" spans="1:5" x14ac:dyDescent="0.25">
      <c r="A58" s="42">
        <f t="shared" si="0"/>
        <v>43884</v>
      </c>
      <c r="B58" s="69">
        <v>3</v>
      </c>
      <c r="C58" s="43">
        <v>1</v>
      </c>
      <c r="D58" s="44">
        <f t="shared" si="1"/>
        <v>0</v>
      </c>
      <c r="E58" s="44">
        <f t="shared" si="2"/>
        <v>0</v>
      </c>
    </row>
    <row r="59" spans="1:5" x14ac:dyDescent="0.25">
      <c r="A59" s="42">
        <f t="shared" si="0"/>
        <v>43885</v>
      </c>
      <c r="B59" s="69">
        <v>4</v>
      </c>
      <c r="C59" s="43">
        <v>1</v>
      </c>
      <c r="D59" s="44">
        <f t="shared" si="1"/>
        <v>0.33333333333333326</v>
      </c>
      <c r="E59" s="44">
        <f t="shared" si="2"/>
        <v>2.3809523809523805E-2</v>
      </c>
    </row>
    <row r="60" spans="1:5" x14ac:dyDescent="0.25">
      <c r="A60" s="42">
        <f t="shared" si="0"/>
        <v>43886</v>
      </c>
      <c r="B60" s="69">
        <v>4</v>
      </c>
      <c r="C60" s="43">
        <v>1</v>
      </c>
      <c r="D60" s="44">
        <f t="shared" si="1"/>
        <v>0</v>
      </c>
      <c r="E60" s="44">
        <f t="shared" si="2"/>
        <v>2.3809523809523805E-2</v>
      </c>
    </row>
    <row r="61" spans="1:5" x14ac:dyDescent="0.25">
      <c r="A61" s="42">
        <f t="shared" si="0"/>
        <v>43887</v>
      </c>
      <c r="B61" s="69">
        <v>5</v>
      </c>
      <c r="C61" s="43">
        <v>1</v>
      </c>
      <c r="D61" s="44">
        <f t="shared" si="1"/>
        <v>0.25</v>
      </c>
      <c r="E61" s="44">
        <f t="shared" si="2"/>
        <v>4.1666666666666664E-2</v>
      </c>
    </row>
    <row r="62" spans="1:5" x14ac:dyDescent="0.25">
      <c r="A62" s="42">
        <f t="shared" si="0"/>
        <v>43888</v>
      </c>
      <c r="B62" s="69">
        <v>5</v>
      </c>
      <c r="C62" s="43">
        <v>1</v>
      </c>
      <c r="D62" s="44">
        <f t="shared" si="1"/>
        <v>0</v>
      </c>
      <c r="E62" s="44">
        <f t="shared" si="2"/>
        <v>4.1666666666666664E-2</v>
      </c>
    </row>
    <row r="63" spans="1:5" x14ac:dyDescent="0.25">
      <c r="A63" s="42">
        <f t="shared" si="0"/>
        <v>43889</v>
      </c>
      <c r="B63" s="69">
        <v>5</v>
      </c>
      <c r="C63" s="43">
        <v>1</v>
      </c>
      <c r="D63" s="44">
        <f t="shared" ref="D63:D88" si="3">B63/B62-1</f>
        <v>0</v>
      </c>
      <c r="E63" s="44">
        <f t="shared" si="2"/>
        <v>4.1666666666666664E-2</v>
      </c>
    </row>
    <row r="64" spans="1:5" x14ac:dyDescent="0.25">
      <c r="A64" s="42">
        <f t="shared" si="0"/>
        <v>43890</v>
      </c>
      <c r="B64" s="69">
        <v>5</v>
      </c>
      <c r="C64" s="43">
        <v>1</v>
      </c>
      <c r="D64" s="44">
        <f t="shared" si="3"/>
        <v>0</v>
      </c>
      <c r="E64" s="44">
        <f t="shared" si="2"/>
        <v>4.1666666666666664E-2</v>
      </c>
    </row>
    <row r="65" spans="1:8" x14ac:dyDescent="0.25">
      <c r="A65" s="42">
        <f t="shared" si="0"/>
        <v>43891</v>
      </c>
      <c r="B65" s="69">
        <v>5</v>
      </c>
      <c r="C65" s="43">
        <v>1</v>
      </c>
      <c r="D65" s="44">
        <f t="shared" si="3"/>
        <v>0</v>
      </c>
      <c r="E65" s="44">
        <f t="shared" si="2"/>
        <v>4.1666666666666664E-2</v>
      </c>
    </row>
    <row r="66" spans="1:8" x14ac:dyDescent="0.25">
      <c r="A66" s="42">
        <f t="shared" si="0"/>
        <v>43892</v>
      </c>
      <c r="B66" s="69">
        <v>10</v>
      </c>
      <c r="C66" s="43">
        <v>1</v>
      </c>
      <c r="D66" s="44">
        <f t="shared" si="3"/>
        <v>1</v>
      </c>
      <c r="E66" s="44">
        <f t="shared" si="2"/>
        <v>0.1130952380952381</v>
      </c>
    </row>
    <row r="67" spans="1:8" x14ac:dyDescent="0.25">
      <c r="A67" s="42">
        <f t="shared" si="0"/>
        <v>43893</v>
      </c>
      <c r="B67" s="69">
        <v>10</v>
      </c>
      <c r="C67" s="43">
        <v>1</v>
      </c>
      <c r="D67" s="44">
        <f t="shared" si="3"/>
        <v>0</v>
      </c>
      <c r="E67" s="44">
        <f t="shared" si="2"/>
        <v>0.1130952380952381</v>
      </c>
    </row>
    <row r="68" spans="1:8" x14ac:dyDescent="0.25">
      <c r="A68" s="42">
        <f t="shared" si="0"/>
        <v>43894</v>
      </c>
      <c r="B68" s="69">
        <v>10</v>
      </c>
      <c r="C68" s="43">
        <v>1</v>
      </c>
      <c r="D68" s="44">
        <f t="shared" si="3"/>
        <v>0</v>
      </c>
      <c r="E68" s="44">
        <f t="shared" si="2"/>
        <v>0.1130952380952381</v>
      </c>
    </row>
    <row r="69" spans="1:8" x14ac:dyDescent="0.25">
      <c r="A69" s="42">
        <f t="shared" si="0"/>
        <v>43895</v>
      </c>
      <c r="B69" s="69">
        <v>10</v>
      </c>
      <c r="C69" s="43">
        <v>1</v>
      </c>
      <c r="D69" s="44">
        <f t="shared" si="3"/>
        <v>0</v>
      </c>
      <c r="E69" s="44">
        <f t="shared" si="2"/>
        <v>0.1130952380952381</v>
      </c>
    </row>
    <row r="70" spans="1:8" x14ac:dyDescent="0.25">
      <c r="A70" s="42">
        <f t="shared" si="0"/>
        <v>43896</v>
      </c>
      <c r="B70" s="69">
        <v>11</v>
      </c>
      <c r="C70" s="43">
        <v>1</v>
      </c>
      <c r="D70" s="44">
        <f t="shared" si="3"/>
        <v>0.10000000000000009</v>
      </c>
      <c r="E70" s="44">
        <f t="shared" si="2"/>
        <v>0.12023809523809524</v>
      </c>
    </row>
    <row r="71" spans="1:8" x14ac:dyDescent="0.25">
      <c r="A71" s="42">
        <f t="shared" ref="A71:A126" si="4">A70+1</f>
        <v>43897</v>
      </c>
      <c r="B71" s="69">
        <v>11</v>
      </c>
      <c r="C71" s="43">
        <v>1</v>
      </c>
      <c r="D71" s="44">
        <f t="shared" si="3"/>
        <v>0</v>
      </c>
      <c r="E71" s="44">
        <f t="shared" si="2"/>
        <v>0.12023809523809524</v>
      </c>
    </row>
    <row r="72" spans="1:8" x14ac:dyDescent="0.25">
      <c r="A72" s="42">
        <f t="shared" si="4"/>
        <v>43898</v>
      </c>
      <c r="B72" s="69">
        <v>11</v>
      </c>
      <c r="C72" s="43">
        <v>1</v>
      </c>
      <c r="D72" s="44">
        <f t="shared" si="3"/>
        <v>0</v>
      </c>
      <c r="E72" s="44">
        <f t="shared" si="2"/>
        <v>0.12023809523809524</v>
      </c>
    </row>
    <row r="73" spans="1:8" x14ac:dyDescent="0.25">
      <c r="A73" s="42">
        <f t="shared" si="4"/>
        <v>43899</v>
      </c>
      <c r="B73" s="69">
        <v>11</v>
      </c>
      <c r="C73" s="43">
        <v>1</v>
      </c>
      <c r="D73" s="44">
        <f t="shared" si="3"/>
        <v>0</v>
      </c>
      <c r="E73" s="44">
        <f t="shared" si="2"/>
        <v>9.6428571428571433E-2</v>
      </c>
    </row>
    <row r="74" spans="1:8" x14ac:dyDescent="0.25">
      <c r="A74" s="42">
        <f t="shared" si="4"/>
        <v>43900</v>
      </c>
      <c r="B74" s="69">
        <v>11</v>
      </c>
      <c r="C74" s="43">
        <v>1</v>
      </c>
      <c r="D74" s="44">
        <f t="shared" si="3"/>
        <v>0</v>
      </c>
      <c r="E74" s="44">
        <f t="shared" si="2"/>
        <v>9.6428571428571433E-2</v>
      </c>
    </row>
    <row r="75" spans="1:8" x14ac:dyDescent="0.25">
      <c r="A75" s="42">
        <f t="shared" si="4"/>
        <v>43901</v>
      </c>
      <c r="B75" s="69">
        <v>12</v>
      </c>
      <c r="C75" s="43">
        <v>1</v>
      </c>
      <c r="D75" s="44">
        <f t="shared" si="3"/>
        <v>9.0909090909090828E-2</v>
      </c>
      <c r="E75" s="44">
        <f t="shared" si="2"/>
        <v>8.5064935064935066E-2</v>
      </c>
    </row>
    <row r="76" spans="1:8" x14ac:dyDescent="0.25">
      <c r="A76" s="42">
        <f t="shared" si="4"/>
        <v>43902</v>
      </c>
      <c r="B76" s="69">
        <v>29</v>
      </c>
      <c r="C76" s="43">
        <v>1</v>
      </c>
      <c r="D76" s="44">
        <f t="shared" si="3"/>
        <v>1.4166666666666665</v>
      </c>
      <c r="E76" s="44">
        <f t="shared" si="2"/>
        <v>0.18625541125541126</v>
      </c>
    </row>
    <row r="77" spans="1:8" x14ac:dyDescent="0.25">
      <c r="A77" s="42">
        <f t="shared" si="4"/>
        <v>43903</v>
      </c>
      <c r="B77" s="69">
        <v>29</v>
      </c>
      <c r="C77" s="43">
        <v>1</v>
      </c>
      <c r="D77" s="44">
        <f t="shared" si="3"/>
        <v>0</v>
      </c>
      <c r="E77" s="44">
        <f t="shared" si="2"/>
        <v>0.18625541125541126</v>
      </c>
    </row>
    <row r="78" spans="1:8" x14ac:dyDescent="0.25">
      <c r="A78" s="42">
        <f t="shared" si="4"/>
        <v>43904</v>
      </c>
      <c r="B78" s="69">
        <v>29</v>
      </c>
      <c r="C78" s="43">
        <v>14</v>
      </c>
      <c r="D78" s="44">
        <f t="shared" si="3"/>
        <v>0</v>
      </c>
      <c r="E78" s="44">
        <f t="shared" si="2"/>
        <v>0.18625541125541126</v>
      </c>
    </row>
    <row r="79" spans="1:8" x14ac:dyDescent="0.25">
      <c r="A79" s="42">
        <f t="shared" si="4"/>
        <v>43905</v>
      </c>
      <c r="B79" s="69">
        <f>B78+C78</f>
        <v>43</v>
      </c>
      <c r="C79" s="43">
        <f>B79-B78</f>
        <v>14</v>
      </c>
      <c r="D79" s="44">
        <f t="shared" si="3"/>
        <v>0.48275862068965525</v>
      </c>
      <c r="E79" s="44">
        <f t="shared" si="2"/>
        <v>0.2207381698761009</v>
      </c>
    </row>
    <row r="80" spans="1:8" x14ac:dyDescent="0.25">
      <c r="A80" s="45">
        <f t="shared" si="4"/>
        <v>43906</v>
      </c>
      <c r="B80" s="69">
        <f>B79+C79</f>
        <v>57</v>
      </c>
      <c r="C80" s="43">
        <f>B80-B79</f>
        <v>14</v>
      </c>
      <c r="D80" s="44">
        <f t="shared" si="3"/>
        <v>0.32558139534883712</v>
      </c>
      <c r="E80" s="44">
        <f t="shared" si="2"/>
        <v>0.17256541240101786</v>
      </c>
      <c r="G80" s="4">
        <v>0.13</v>
      </c>
      <c r="H80" t="s">
        <v>67</v>
      </c>
    </row>
    <row r="81" spans="1:5" x14ac:dyDescent="0.25">
      <c r="A81" s="45">
        <f t="shared" si="4"/>
        <v>43907</v>
      </c>
      <c r="B81" s="69">
        <v>101</v>
      </c>
      <c r="C81" s="46">
        <f t="shared" ref="C81:C89" si="5">B81-B80</f>
        <v>44</v>
      </c>
      <c r="D81" s="44">
        <f t="shared" si="3"/>
        <v>0.77192982456140347</v>
      </c>
      <c r="E81" s="44">
        <f t="shared" si="2"/>
        <v>0.22770325701254665</v>
      </c>
    </row>
    <row r="82" spans="1:5" x14ac:dyDescent="0.25">
      <c r="A82" s="45">
        <f t="shared" si="4"/>
        <v>43908</v>
      </c>
      <c r="B82" s="69">
        <v>108</v>
      </c>
      <c r="C82" s="46">
        <f t="shared" si="5"/>
        <v>7</v>
      </c>
      <c r="D82" s="47">
        <f t="shared" si="3"/>
        <v>6.9306930693069368E-2</v>
      </c>
      <c r="E82" s="44">
        <f t="shared" si="2"/>
        <v>0.23265375206205161</v>
      </c>
    </row>
    <row r="83" spans="1:5" x14ac:dyDescent="0.25">
      <c r="A83" s="45">
        <f t="shared" si="4"/>
        <v>43909</v>
      </c>
      <c r="B83" s="69">
        <v>128</v>
      </c>
      <c r="C83" s="46">
        <f t="shared" si="5"/>
        <v>20</v>
      </c>
      <c r="D83" s="47">
        <f t="shared" si="3"/>
        <v>0.18518518518518512</v>
      </c>
      <c r="E83" s="44">
        <f>AVERAGE(D70:D83)</f>
        <v>0.24588126528956483</v>
      </c>
    </row>
    <row r="84" spans="1:5" x14ac:dyDescent="0.25">
      <c r="A84" s="45">
        <f t="shared" si="4"/>
        <v>43910</v>
      </c>
      <c r="B84" s="69">
        <v>161</v>
      </c>
      <c r="C84" s="46">
        <f t="shared" si="5"/>
        <v>33</v>
      </c>
      <c r="D84" s="47">
        <f t="shared" si="3"/>
        <v>0.2578125</v>
      </c>
      <c r="E84" s="44">
        <f>AVERAGE(D71:D84)</f>
        <v>0.25715358671813621</v>
      </c>
    </row>
    <row r="85" spans="1:5" x14ac:dyDescent="0.25">
      <c r="A85" s="45">
        <f t="shared" si="4"/>
        <v>43911</v>
      </c>
      <c r="B85" s="69">
        <v>220</v>
      </c>
      <c r="C85" s="46">
        <f t="shared" si="5"/>
        <v>59</v>
      </c>
      <c r="D85" s="47">
        <f t="shared" si="3"/>
        <v>0.36645962732919246</v>
      </c>
      <c r="E85" s="44">
        <f t="shared" ref="E85:E95" si="6">AVERAGE(D72:D85)</f>
        <v>0.28332927438450711</v>
      </c>
    </row>
    <row r="86" spans="1:5" x14ac:dyDescent="0.25">
      <c r="A86" s="45">
        <f t="shared" si="4"/>
        <v>43912</v>
      </c>
      <c r="B86" s="69">
        <v>220</v>
      </c>
      <c r="C86" s="46">
        <f t="shared" si="5"/>
        <v>0</v>
      </c>
      <c r="D86" s="47">
        <f t="shared" si="3"/>
        <v>0</v>
      </c>
      <c r="E86" s="44">
        <f t="shared" si="6"/>
        <v>0.28332927438450711</v>
      </c>
    </row>
    <row r="87" spans="1:5" x14ac:dyDescent="0.25">
      <c r="A87" s="45">
        <f t="shared" si="4"/>
        <v>43913</v>
      </c>
      <c r="B87" s="69">
        <v>239</v>
      </c>
      <c r="C87" s="46">
        <f t="shared" si="5"/>
        <v>19</v>
      </c>
      <c r="D87" s="47">
        <f t="shared" si="3"/>
        <v>8.636363636363642E-2</v>
      </c>
      <c r="E87" s="44">
        <f t="shared" si="6"/>
        <v>0.28949810555333827</v>
      </c>
    </row>
    <row r="88" spans="1:5" x14ac:dyDescent="0.25">
      <c r="A88" s="45">
        <f t="shared" si="4"/>
        <v>43914</v>
      </c>
      <c r="B88" s="69">
        <v>280</v>
      </c>
      <c r="C88" s="46">
        <f t="shared" si="5"/>
        <v>41</v>
      </c>
      <c r="D88" s="47">
        <f t="shared" si="3"/>
        <v>0.17154811715481166</v>
      </c>
      <c r="E88" s="44">
        <f t="shared" si="6"/>
        <v>0.30175154249296771</v>
      </c>
    </row>
    <row r="89" spans="1:5" x14ac:dyDescent="0.25">
      <c r="A89" s="45">
        <f t="shared" si="4"/>
        <v>43915</v>
      </c>
      <c r="B89" s="69">
        <v>319</v>
      </c>
      <c r="C89" s="46">
        <f t="shared" si="5"/>
        <v>39</v>
      </c>
      <c r="D89" s="47">
        <f t="shared" ref="D89:D93" si="7">B89/B88-1</f>
        <v>0.13928571428571423</v>
      </c>
      <c r="E89" s="44">
        <f t="shared" si="6"/>
        <v>0.30520701559129793</v>
      </c>
    </row>
    <row r="90" spans="1:5" x14ac:dyDescent="0.25">
      <c r="A90" s="45">
        <f t="shared" si="4"/>
        <v>43916</v>
      </c>
      <c r="B90" s="69">
        <v>339</v>
      </c>
      <c r="C90" s="46">
        <f t="shared" ref="C90:C126" si="8">B90-B89</f>
        <v>20</v>
      </c>
      <c r="D90" s="47">
        <f t="shared" si="7"/>
        <v>6.2695924764890387E-2</v>
      </c>
      <c r="E90" s="44">
        <f t="shared" si="6"/>
        <v>0.20849481974117109</v>
      </c>
    </row>
    <row r="91" spans="1:5" x14ac:dyDescent="0.25">
      <c r="A91" s="45">
        <f t="shared" si="4"/>
        <v>43917</v>
      </c>
      <c r="B91" s="69">
        <v>512</v>
      </c>
      <c r="C91" s="46">
        <f t="shared" si="8"/>
        <v>173</v>
      </c>
      <c r="D91" s="47">
        <f t="shared" si="7"/>
        <v>0.51032448377581119</v>
      </c>
      <c r="E91" s="44">
        <f t="shared" si="6"/>
        <v>0.24494656858230046</v>
      </c>
    </row>
    <row r="92" spans="1:5" x14ac:dyDescent="0.25">
      <c r="A92" s="45">
        <f t="shared" si="4"/>
        <v>43918</v>
      </c>
      <c r="B92" s="69">
        <v>512</v>
      </c>
      <c r="C92" s="46">
        <f t="shared" si="8"/>
        <v>0</v>
      </c>
      <c r="D92" s="47">
        <f t="shared" si="7"/>
        <v>0</v>
      </c>
      <c r="E92" s="44">
        <f t="shared" si="6"/>
        <v>0.24494656858230046</v>
      </c>
    </row>
    <row r="93" spans="1:5" x14ac:dyDescent="0.25">
      <c r="A93" s="45">
        <f t="shared" si="4"/>
        <v>43919</v>
      </c>
      <c r="B93" s="69">
        <v>540</v>
      </c>
      <c r="C93" s="46">
        <f t="shared" si="8"/>
        <v>28</v>
      </c>
      <c r="D93" s="47">
        <f t="shared" si="7"/>
        <v>5.46875E-2</v>
      </c>
      <c r="E93" s="44">
        <f t="shared" si="6"/>
        <v>0.21437005996161082</v>
      </c>
    </row>
    <row r="94" spans="1:5" x14ac:dyDescent="0.25">
      <c r="A94" s="45">
        <f t="shared" si="4"/>
        <v>43920</v>
      </c>
      <c r="B94" s="69">
        <v>591</v>
      </c>
      <c r="C94" s="46">
        <f t="shared" ref="C94" si="9">B94-B93</f>
        <v>51</v>
      </c>
      <c r="D94" s="47">
        <f t="shared" ref="D94:D95" si="10">B94/B93-1</f>
        <v>9.4444444444444553E-2</v>
      </c>
      <c r="E94" s="44">
        <f t="shared" si="6"/>
        <v>0.19786027775415418</v>
      </c>
    </row>
    <row r="95" spans="1:5" x14ac:dyDescent="0.25">
      <c r="A95" s="45">
        <f t="shared" si="4"/>
        <v>43921</v>
      </c>
      <c r="B95" s="69">
        <v>793</v>
      </c>
      <c r="C95" s="46">
        <f t="shared" si="8"/>
        <v>202</v>
      </c>
      <c r="D95" s="47">
        <f t="shared" si="10"/>
        <v>0.34179357021996615</v>
      </c>
      <c r="E95" s="44">
        <f t="shared" si="6"/>
        <v>0.16713625958690867</v>
      </c>
    </row>
    <row r="96" spans="1:5" x14ac:dyDescent="0.25">
      <c r="A96" s="45">
        <f t="shared" si="4"/>
        <v>43922</v>
      </c>
      <c r="B96" s="69">
        <v>897</v>
      </c>
      <c r="C96" s="46">
        <f t="shared" si="8"/>
        <v>104</v>
      </c>
      <c r="D96" s="47">
        <f t="shared" ref="D96:D99" si="11">B96/B95-1</f>
        <v>0.13114754098360648</v>
      </c>
      <c r="E96" s="44">
        <f t="shared" ref="E96:E99" si="12">AVERAGE(D83:D96)</f>
        <v>0.17155344603623274</v>
      </c>
    </row>
    <row r="97" spans="1:6" x14ac:dyDescent="0.25">
      <c r="A97" s="45">
        <f t="shared" si="4"/>
        <v>43923</v>
      </c>
      <c r="B97" s="69">
        <v>897</v>
      </c>
      <c r="C97" s="46">
        <f t="shared" si="8"/>
        <v>0</v>
      </c>
      <c r="D97" s="47">
        <f t="shared" si="11"/>
        <v>0</v>
      </c>
      <c r="E97" s="44">
        <f t="shared" si="12"/>
        <v>0.15832593280871951</v>
      </c>
    </row>
    <row r="98" spans="1:6" x14ac:dyDescent="0.25">
      <c r="A98" s="45">
        <f t="shared" si="4"/>
        <v>43924</v>
      </c>
      <c r="B98" s="69">
        <v>986</v>
      </c>
      <c r="C98" s="46">
        <f t="shared" si="8"/>
        <v>89</v>
      </c>
      <c r="D98" s="47">
        <f t="shared" si="11"/>
        <v>9.9219620958751475E-2</v>
      </c>
      <c r="E98" s="44">
        <f t="shared" si="12"/>
        <v>0.14699787002005893</v>
      </c>
    </row>
    <row r="99" spans="1:6" x14ac:dyDescent="0.25">
      <c r="A99" s="45">
        <f t="shared" si="4"/>
        <v>43925</v>
      </c>
      <c r="B99" s="69">
        <v>1026</v>
      </c>
      <c r="C99" s="46">
        <f t="shared" si="8"/>
        <v>40</v>
      </c>
      <c r="D99" s="47">
        <f t="shared" si="11"/>
        <v>4.0567951318458473E-2</v>
      </c>
      <c r="E99" s="44">
        <f t="shared" si="12"/>
        <v>0.12371989316214936</v>
      </c>
    </row>
    <row r="100" spans="1:6" x14ac:dyDescent="0.25">
      <c r="A100" s="45">
        <f t="shared" si="4"/>
        <v>43926</v>
      </c>
      <c r="B100" s="69">
        <v>1232</v>
      </c>
      <c r="C100" s="46">
        <f t="shared" ref="C100:C107" si="13">B100-B99</f>
        <v>206</v>
      </c>
      <c r="D100" s="47">
        <f t="shared" ref="D100:D120" si="14">B100/B99-1</f>
        <v>0.2007797270955165</v>
      </c>
      <c r="E100" s="44">
        <f t="shared" ref="E100:E120" si="15">AVERAGE(D87:D100)</f>
        <v>0.13806130224040053</v>
      </c>
    </row>
    <row r="101" spans="1:6" x14ac:dyDescent="0.25">
      <c r="A101" s="45">
        <f t="shared" si="4"/>
        <v>43927</v>
      </c>
      <c r="B101" s="69">
        <v>1301</v>
      </c>
      <c r="C101" s="46">
        <f t="shared" si="13"/>
        <v>69</v>
      </c>
      <c r="D101" s="47">
        <f t="shared" si="14"/>
        <v>5.6006493506493449E-2</v>
      </c>
      <c r="E101" s="44">
        <f t="shared" si="15"/>
        <v>0.13589293489346174</v>
      </c>
    </row>
    <row r="102" spans="1:6" x14ac:dyDescent="0.25">
      <c r="A102" s="45">
        <f t="shared" si="4"/>
        <v>43928</v>
      </c>
      <c r="B102" s="69">
        <v>1449</v>
      </c>
      <c r="C102" s="46">
        <f t="shared" si="13"/>
        <v>148</v>
      </c>
      <c r="D102" s="47">
        <f t="shared" si="14"/>
        <v>0.11375864719446582</v>
      </c>
      <c r="E102" s="44">
        <f t="shared" si="15"/>
        <v>0.13176511561057991</v>
      </c>
    </row>
    <row r="103" spans="1:6" x14ac:dyDescent="0.25">
      <c r="A103" s="45">
        <f t="shared" si="4"/>
        <v>43929</v>
      </c>
      <c r="B103" s="69">
        <v>1600</v>
      </c>
      <c r="C103" s="46">
        <f t="shared" si="13"/>
        <v>151</v>
      </c>
      <c r="D103" s="47">
        <f t="shared" si="14"/>
        <v>0.10420979986197376</v>
      </c>
      <c r="E103" s="44">
        <f t="shared" si="15"/>
        <v>0.1292596931517413</v>
      </c>
    </row>
    <row r="104" spans="1:6" x14ac:dyDescent="0.25">
      <c r="A104" s="45">
        <f t="shared" si="4"/>
        <v>43930</v>
      </c>
      <c r="B104" s="69">
        <v>1769</v>
      </c>
      <c r="C104" s="46">
        <f t="shared" si="13"/>
        <v>169</v>
      </c>
      <c r="D104" s="47">
        <f t="shared" si="14"/>
        <v>0.10562500000000008</v>
      </c>
      <c r="E104" s="44">
        <f t="shared" si="15"/>
        <v>0.13232605566853486</v>
      </c>
    </row>
    <row r="105" spans="1:6" x14ac:dyDescent="0.25">
      <c r="A105" s="45">
        <f t="shared" si="4"/>
        <v>43931</v>
      </c>
      <c r="B105" s="69">
        <v>1900</v>
      </c>
      <c r="C105" s="46">
        <f t="shared" si="13"/>
        <v>131</v>
      </c>
      <c r="D105" s="47">
        <f t="shared" si="14"/>
        <v>7.4053137365743371E-2</v>
      </c>
      <c r="E105" s="44">
        <f t="shared" si="15"/>
        <v>0.1011638166392443</v>
      </c>
    </row>
    <row r="106" spans="1:6" x14ac:dyDescent="0.25">
      <c r="A106" s="45">
        <f t="shared" si="4"/>
        <v>43932</v>
      </c>
      <c r="B106" s="69">
        <v>2100</v>
      </c>
      <c r="C106" s="46">
        <f t="shared" si="13"/>
        <v>200</v>
      </c>
      <c r="D106" s="47">
        <f t="shared" si="14"/>
        <v>0.10526315789473695</v>
      </c>
      <c r="E106" s="44">
        <f t="shared" si="15"/>
        <v>0.1086826136317255</v>
      </c>
    </row>
    <row r="107" spans="1:6" x14ac:dyDescent="0.25">
      <c r="A107" s="45">
        <f t="shared" si="4"/>
        <v>43933</v>
      </c>
      <c r="B107" s="69">
        <v>2225</v>
      </c>
      <c r="C107" s="46">
        <f t="shared" si="13"/>
        <v>125</v>
      </c>
      <c r="D107" s="47">
        <f t="shared" si="14"/>
        <v>5.9523809523809534E-2</v>
      </c>
      <c r="E107" s="44">
        <f t="shared" si="15"/>
        <v>0.10902806431199762</v>
      </c>
    </row>
    <row r="108" spans="1:6" x14ac:dyDescent="0.25">
      <c r="A108" s="45">
        <f t="shared" si="4"/>
        <v>43934</v>
      </c>
      <c r="B108" s="69">
        <v>2450</v>
      </c>
      <c r="C108" s="46">
        <f t="shared" si="8"/>
        <v>225</v>
      </c>
      <c r="D108" s="47">
        <f t="shared" si="14"/>
        <v>0.101123595505618</v>
      </c>
      <c r="E108" s="44">
        <f t="shared" si="15"/>
        <v>0.10950514653065287</v>
      </c>
    </row>
    <row r="109" spans="1:6" x14ac:dyDescent="0.25">
      <c r="A109" s="45">
        <f t="shared" si="4"/>
        <v>43935</v>
      </c>
      <c r="B109" s="69">
        <v>2550</v>
      </c>
      <c r="C109" s="46">
        <f t="shared" si="8"/>
        <v>100</v>
      </c>
      <c r="D109" s="47">
        <f t="shared" si="14"/>
        <v>4.081632653061229E-2</v>
      </c>
      <c r="E109" s="44">
        <f t="shared" si="15"/>
        <v>8.8006771981413295E-2</v>
      </c>
      <c r="F109" s="7">
        <f>SUM(C81:C109)</f>
        <v>2493</v>
      </c>
    </row>
    <row r="110" spans="1:6" x14ac:dyDescent="0.25">
      <c r="A110" s="45">
        <f t="shared" si="4"/>
        <v>43936</v>
      </c>
      <c r="B110" s="69">
        <v>2700</v>
      </c>
      <c r="C110" s="46">
        <f t="shared" si="8"/>
        <v>150</v>
      </c>
      <c r="D110" s="47">
        <f t="shared" si="14"/>
        <v>5.8823529411764719E-2</v>
      </c>
      <c r="E110" s="44">
        <f t="shared" si="15"/>
        <v>8.2840771154853179E-2</v>
      </c>
    </row>
    <row r="111" spans="1:6" x14ac:dyDescent="0.25">
      <c r="A111" s="45">
        <f>A110+1</f>
        <v>43937</v>
      </c>
      <c r="B111" s="69">
        <v>2881</v>
      </c>
      <c r="C111" s="46">
        <f t="shared" si="8"/>
        <v>181</v>
      </c>
      <c r="D111" s="47">
        <f t="shared" si="14"/>
        <v>6.7037037037037006E-2</v>
      </c>
      <c r="E111" s="44">
        <f t="shared" si="15"/>
        <v>8.7629130943212966E-2</v>
      </c>
    </row>
    <row r="112" spans="1:6" x14ac:dyDescent="0.25">
      <c r="A112" s="45">
        <f t="shared" si="4"/>
        <v>43938</v>
      </c>
      <c r="B112" s="69">
        <v>3000</v>
      </c>
      <c r="C112" s="46">
        <f t="shared" si="8"/>
        <v>119</v>
      </c>
      <c r="D112" s="47">
        <f t="shared" si="14"/>
        <v>4.1305102395001736E-2</v>
      </c>
      <c r="E112" s="44">
        <f t="shared" si="15"/>
        <v>8.3492379617230841E-2</v>
      </c>
    </row>
    <row r="113" spans="1:5" x14ac:dyDescent="0.25">
      <c r="A113" s="45">
        <f t="shared" si="4"/>
        <v>43939</v>
      </c>
      <c r="B113" s="69">
        <v>3250</v>
      </c>
      <c r="C113" s="46">
        <f t="shared" si="8"/>
        <v>250</v>
      </c>
      <c r="D113" s="47">
        <f t="shared" si="14"/>
        <v>8.3333333333333259E-2</v>
      </c>
      <c r="E113" s="44">
        <f t="shared" si="15"/>
        <v>8.6547049761150463E-2</v>
      </c>
    </row>
    <row r="114" spans="1:5" x14ac:dyDescent="0.25">
      <c r="A114" s="45">
        <f t="shared" si="4"/>
        <v>43940</v>
      </c>
      <c r="B114" s="69">
        <v>3546</v>
      </c>
      <c r="C114" s="46">
        <f t="shared" si="8"/>
        <v>296</v>
      </c>
      <c r="D114" s="47">
        <f t="shared" si="14"/>
        <v>9.1076923076923055E-2</v>
      </c>
      <c r="E114" s="44">
        <f t="shared" si="15"/>
        <v>7.8711135188393788E-2</v>
      </c>
    </row>
    <row r="115" spans="1:5" x14ac:dyDescent="0.25">
      <c r="A115" s="45">
        <f t="shared" si="4"/>
        <v>43941</v>
      </c>
      <c r="B115" s="69">
        <v>3700</v>
      </c>
      <c r="C115" s="46">
        <f t="shared" si="8"/>
        <v>154</v>
      </c>
      <c r="D115" s="47">
        <f t="shared" si="14"/>
        <v>4.34292160180485E-2</v>
      </c>
      <c r="E115" s="44">
        <f t="shared" si="15"/>
        <v>7.7812758224933429E-2</v>
      </c>
    </row>
    <row r="116" spans="1:5" x14ac:dyDescent="0.25">
      <c r="A116" s="45">
        <f t="shared" si="4"/>
        <v>43942</v>
      </c>
      <c r="B116" s="69">
        <v>3900</v>
      </c>
      <c r="C116" s="46">
        <f t="shared" si="8"/>
        <v>200</v>
      </c>
      <c r="D116" s="47">
        <f t="shared" si="14"/>
        <v>5.4054054054053946E-2</v>
      </c>
      <c r="E116" s="44">
        <f t="shared" si="15"/>
        <v>7.3548144429189735E-2</v>
      </c>
    </row>
    <row r="117" spans="1:5" x14ac:dyDescent="0.25">
      <c r="A117" s="45">
        <f t="shared" si="4"/>
        <v>43943</v>
      </c>
      <c r="B117" s="69">
        <v>4200</v>
      </c>
      <c r="C117" s="46">
        <f t="shared" si="8"/>
        <v>300</v>
      </c>
      <c r="D117" s="47">
        <f t="shared" si="14"/>
        <v>7.6923076923076872E-2</v>
      </c>
      <c r="E117" s="44">
        <f t="shared" si="15"/>
        <v>7.1599092790697094E-2</v>
      </c>
    </row>
    <row r="118" spans="1:5" x14ac:dyDescent="0.25">
      <c r="A118" s="45">
        <f t="shared" si="4"/>
        <v>43944</v>
      </c>
      <c r="B118" s="69">
        <v>4400</v>
      </c>
      <c r="C118" s="46">
        <f t="shared" si="8"/>
        <v>200</v>
      </c>
      <c r="D118" s="47">
        <f t="shared" si="14"/>
        <v>4.7619047619047672E-2</v>
      </c>
      <c r="E118" s="44">
        <f t="shared" si="15"/>
        <v>6.7455810477771924E-2</v>
      </c>
    </row>
    <row r="119" spans="1:5" x14ac:dyDescent="0.25">
      <c r="A119" s="45">
        <f t="shared" si="4"/>
        <v>43945</v>
      </c>
      <c r="B119" s="69">
        <v>4500</v>
      </c>
      <c r="C119" s="46">
        <f t="shared" si="8"/>
        <v>100</v>
      </c>
      <c r="D119" s="47">
        <f t="shared" si="14"/>
        <v>2.2727272727272707E-2</v>
      </c>
      <c r="E119" s="44">
        <f t="shared" si="15"/>
        <v>6.3789677289309732E-2</v>
      </c>
    </row>
    <row r="120" spans="1:5" x14ac:dyDescent="0.25">
      <c r="A120" s="45">
        <f t="shared" si="4"/>
        <v>43946</v>
      </c>
      <c r="B120" s="69">
        <v>4628</v>
      </c>
      <c r="C120" s="46">
        <f t="shared" si="8"/>
        <v>128</v>
      </c>
      <c r="D120" s="47">
        <f t="shared" si="14"/>
        <v>2.8444444444444494E-2</v>
      </c>
      <c r="E120" s="44">
        <f t="shared" si="15"/>
        <v>5.830262632857456E-2</v>
      </c>
    </row>
    <row r="121" spans="1:5" x14ac:dyDescent="0.25">
      <c r="A121" s="50">
        <f t="shared" si="4"/>
        <v>43947</v>
      </c>
      <c r="B121" s="51">
        <f t="shared" ref="B115:B126" ca="1" si="16">B120*(1+D121)</f>
        <v>5970.12</v>
      </c>
      <c r="C121" s="51">
        <f t="shared" ca="1" si="8"/>
        <v>1342.12</v>
      </c>
      <c r="D121" s="52">
        <f t="shared" ref="D115:D126" ca="1" si="17">RANDBETWEEN(10,30)*0.01</f>
        <v>0.28999999999999998</v>
      </c>
      <c r="E121" s="48"/>
    </row>
    <row r="122" spans="1:5" x14ac:dyDescent="0.25">
      <c r="A122" s="50">
        <f t="shared" si="4"/>
        <v>43948</v>
      </c>
      <c r="B122" s="51">
        <f t="shared" ca="1" si="16"/>
        <v>7761.1559999999999</v>
      </c>
      <c r="C122" s="51">
        <f t="shared" ca="1" si="8"/>
        <v>1791.0360000000001</v>
      </c>
      <c r="D122" s="52">
        <f t="shared" ca="1" si="17"/>
        <v>0.3</v>
      </c>
      <c r="E122" s="48"/>
    </row>
    <row r="123" spans="1:5" x14ac:dyDescent="0.25">
      <c r="A123" s="50">
        <f t="shared" si="4"/>
        <v>43949</v>
      </c>
      <c r="B123" s="51">
        <f t="shared" ca="1" si="16"/>
        <v>9856.6681200000003</v>
      </c>
      <c r="C123" s="51">
        <f t="shared" ca="1" si="8"/>
        <v>2095.5121200000003</v>
      </c>
      <c r="D123" s="52">
        <f t="shared" ca="1" si="17"/>
        <v>0.27</v>
      </c>
      <c r="E123" s="48"/>
    </row>
    <row r="124" spans="1:5" x14ac:dyDescent="0.25">
      <c r="A124" s="50">
        <f t="shared" si="4"/>
        <v>43950</v>
      </c>
      <c r="B124" s="51">
        <f t="shared" ca="1" si="16"/>
        <v>10940.901613200002</v>
      </c>
      <c r="C124" s="51">
        <f t="shared" ca="1" si="8"/>
        <v>1084.2334932000012</v>
      </c>
      <c r="D124" s="52">
        <f t="shared" ca="1" si="17"/>
        <v>0.11</v>
      </c>
      <c r="E124" s="48"/>
    </row>
    <row r="125" spans="1:5" x14ac:dyDescent="0.25">
      <c r="A125" s="50">
        <f t="shared" si="4"/>
        <v>43951</v>
      </c>
      <c r="B125" s="51">
        <f t="shared" ca="1" si="16"/>
        <v>12910.263903576</v>
      </c>
      <c r="C125" s="51">
        <f t="shared" ca="1" si="8"/>
        <v>1969.3622903759988</v>
      </c>
      <c r="D125" s="52">
        <f t="shared" ca="1" si="17"/>
        <v>0.18</v>
      </c>
      <c r="E125" s="48"/>
    </row>
    <row r="126" spans="1:5" x14ac:dyDescent="0.25">
      <c r="A126" s="50">
        <f t="shared" si="4"/>
        <v>43952</v>
      </c>
      <c r="B126" s="51">
        <f t="shared" ca="1" si="16"/>
        <v>16396.035157541519</v>
      </c>
      <c r="C126" s="51">
        <f t="shared" ca="1" si="8"/>
        <v>3485.7712539655186</v>
      </c>
      <c r="D126" s="52">
        <f t="shared" ca="1" si="17"/>
        <v>0.27</v>
      </c>
      <c r="E126" s="48"/>
    </row>
  </sheetData>
  <hyperlinks>
    <hyperlink ref="A1" r:id="rId1" xr:uid="{5872A132-6A7B-4C5A-BFE4-E2243D28C99B}"/>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39DA-5009-4F61-86F2-B4ADB55B5C44}">
  <sheetPr codeName="Sheet4"/>
  <dimension ref="A1:P95"/>
  <sheetViews>
    <sheetView tabSelected="1" topLeftCell="A19" zoomScaleNormal="100" workbookViewId="0">
      <selection activeCell="O22" sqref="O22"/>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43946</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161</v>
      </c>
      <c r="C4" s="54">
        <v>101</v>
      </c>
      <c r="D4" s="54">
        <v>86</v>
      </c>
      <c r="E4" s="54">
        <v>86</v>
      </c>
      <c r="F4" s="54">
        <v>96</v>
      </c>
      <c r="G4" s="54">
        <v>96</v>
      </c>
      <c r="H4" s="54">
        <v>86</v>
      </c>
      <c r="I4" s="54">
        <v>92</v>
      </c>
      <c r="J4" s="54">
        <v>67</v>
      </c>
      <c r="K4" s="57">
        <v>67</v>
      </c>
      <c r="L4" s="62">
        <v>92</v>
      </c>
      <c r="M4" s="54">
        <v>92</v>
      </c>
      <c r="N4" s="54">
        <v>92</v>
      </c>
      <c r="O4" s="67">
        <v>52</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84325</v>
      </c>
      <c r="C9" s="54">
        <v>12829</v>
      </c>
      <c r="D9" s="54">
        <v>192994</v>
      </c>
      <c r="E9" s="54">
        <v>219764</v>
      </c>
      <c r="F9" s="54">
        <v>860772</v>
      </c>
      <c r="G9" s="54">
        <v>10718</v>
      </c>
      <c r="H9" s="54">
        <v>143468</v>
      </c>
      <c r="I9" s="54">
        <v>6687</v>
      </c>
      <c r="J9" s="54">
        <v>88194</v>
      </c>
      <c r="K9" s="57">
        <v>121338</v>
      </c>
      <c r="L9" s="62">
        <v>45341</v>
      </c>
      <c r="M9" s="54">
        <v>13995</v>
      </c>
      <c r="N9" s="54">
        <v>4628</v>
      </c>
      <c r="O9" s="67">
        <v>634</v>
      </c>
      <c r="P9" s="1"/>
    </row>
    <row r="10" spans="1:16" x14ac:dyDescent="0.25">
      <c r="A10" s="48" t="s">
        <v>34</v>
      </c>
      <c r="B10" s="54"/>
      <c r="C10" s="54"/>
      <c r="D10" s="54"/>
      <c r="E10" s="54"/>
      <c r="F10" s="54"/>
      <c r="G10" s="54"/>
      <c r="H10" s="54"/>
      <c r="I10" s="54"/>
      <c r="J10" s="54"/>
      <c r="K10" s="57"/>
      <c r="L10" s="62"/>
      <c r="M10" s="54"/>
      <c r="N10" s="54">
        <v>711</v>
      </c>
      <c r="O10" s="67">
        <v>71</v>
      </c>
    </row>
    <row r="11" spans="1:16" x14ac:dyDescent="0.25">
      <c r="A11" s="48" t="s">
        <v>123</v>
      </c>
      <c r="B11" s="54"/>
      <c r="C11" s="54"/>
      <c r="D11" s="54"/>
      <c r="E11" s="54"/>
      <c r="F11" s="54"/>
      <c r="G11" s="54"/>
      <c r="H11" s="54"/>
      <c r="I11" s="54"/>
      <c r="J11" s="54"/>
      <c r="K11" s="57"/>
      <c r="L11" s="62"/>
      <c r="M11" s="54"/>
      <c r="N11" s="54">
        <v>200</v>
      </c>
      <c r="O11" s="67">
        <v>38</v>
      </c>
    </row>
    <row r="12" spans="1:16" x14ac:dyDescent="0.25">
      <c r="A12" s="48" t="s">
        <v>35</v>
      </c>
      <c r="B12" s="54">
        <v>4642</v>
      </c>
      <c r="C12" s="54">
        <v>334</v>
      </c>
      <c r="D12" s="54">
        <v>25969</v>
      </c>
      <c r="E12" s="54">
        <v>22524</v>
      </c>
      <c r="F12" s="54">
        <v>44053</v>
      </c>
      <c r="G12" s="54">
        <v>240</v>
      </c>
      <c r="H12" s="54">
        <v>19506</v>
      </c>
      <c r="I12" s="54">
        <v>79</v>
      </c>
      <c r="J12" s="54">
        <v>5574</v>
      </c>
      <c r="K12" s="57">
        <v>22212</v>
      </c>
      <c r="L12" s="62">
        <v>2465</v>
      </c>
      <c r="M12" s="54">
        <v>881</v>
      </c>
      <c r="N12" s="54">
        <v>253</v>
      </c>
      <c r="O12" s="67">
        <v>51</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5.50489178772606E-2</v>
      </c>
      <c r="C16" s="71">
        <f t="shared" ref="C16:O16" si="0">C12/C9</f>
        <v>2.6034764985579547E-2</v>
      </c>
      <c r="D16" s="71">
        <f t="shared" si="0"/>
        <v>0.13455858731359524</v>
      </c>
      <c r="E16" s="71">
        <f t="shared" si="0"/>
        <v>0.10249176389217524</v>
      </c>
      <c r="F16" s="71">
        <f t="shared" si="0"/>
        <v>5.1178476995069541E-2</v>
      </c>
      <c r="G16" s="71">
        <f t="shared" si="0"/>
        <v>2.2392237357715991E-2</v>
      </c>
      <c r="H16" s="71">
        <f t="shared" si="0"/>
        <v>0.1359606323361307</v>
      </c>
      <c r="I16" s="71">
        <f t="shared" si="0"/>
        <v>1.1813967399431732E-2</v>
      </c>
      <c r="J16" s="71">
        <f t="shared" si="0"/>
        <v>6.3201578338662495E-2</v>
      </c>
      <c r="K16" s="71">
        <f t="shared" si="0"/>
        <v>0.18305889333926717</v>
      </c>
      <c r="L16" s="71">
        <f t="shared" si="0"/>
        <v>5.4365805782845548E-2</v>
      </c>
      <c r="M16" s="71">
        <f t="shared" si="0"/>
        <v>6.2951053947838509E-2</v>
      </c>
      <c r="N16" s="71">
        <f t="shared" si="0"/>
        <v>5.4667242869490061E-2</v>
      </c>
      <c r="O16" s="71">
        <f t="shared" si="0"/>
        <v>8.0441640378548895E-2</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0.15363007778738116</v>
      </c>
      <c r="O19" s="72">
        <f>O10/O9</f>
        <v>0.11198738170347003</v>
      </c>
    </row>
    <row r="20" spans="1:15" x14ac:dyDescent="0.25">
      <c r="A20" s="48" t="s">
        <v>59</v>
      </c>
      <c r="B20" s="72">
        <v>0.05</v>
      </c>
      <c r="C20" s="72"/>
      <c r="D20" s="72">
        <v>0.1</v>
      </c>
      <c r="E20" s="72"/>
      <c r="F20" s="72"/>
      <c r="G20" s="72"/>
      <c r="H20" s="72"/>
      <c r="I20" s="72"/>
      <c r="J20" s="72"/>
      <c r="K20" s="72"/>
      <c r="L20" s="72"/>
      <c r="M20" s="72"/>
      <c r="N20" s="72">
        <f>N11/N9</f>
        <v>4.3215211754537596E-2</v>
      </c>
      <c r="O20" s="72">
        <f>O11/O9</f>
        <v>5.993690851735016E-2</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6.0840548340548342</v>
      </c>
      <c r="C24" s="66">
        <f t="shared" si="1"/>
        <v>10.117507886435332</v>
      </c>
      <c r="D24" s="66">
        <f t="shared" si="1"/>
        <v>319.103835978836</v>
      </c>
      <c r="E24" s="66">
        <f t="shared" si="1"/>
        <v>470.99014144877845</v>
      </c>
      <c r="F24" s="66">
        <f t="shared" si="1"/>
        <v>263.07212713936434</v>
      </c>
      <c r="G24" s="66">
        <f t="shared" si="1"/>
        <v>20.823780843209637</v>
      </c>
      <c r="H24" s="66">
        <f t="shared" si="1"/>
        <v>215.93618302227577</v>
      </c>
      <c r="I24" s="66">
        <f t="shared" si="1"/>
        <v>27.182926829268297</v>
      </c>
      <c r="J24" s="66">
        <f t="shared" si="1"/>
        <v>108.66683095120749</v>
      </c>
      <c r="K24" s="66">
        <f t="shared" si="1"/>
        <v>181.12852664576803</v>
      </c>
      <c r="L24" s="66">
        <f t="shared" si="1"/>
        <v>120.61984570364459</v>
      </c>
      <c r="M24" s="66">
        <f t="shared" si="1"/>
        <v>95.466347822480486</v>
      </c>
      <c r="N24" s="66">
        <f>N9/$N$6*100000</f>
        <v>157.95221843003412</v>
      </c>
      <c r="O24" s="66">
        <f>O9/$O$6*100000</f>
        <v>114.7065980718798</v>
      </c>
    </row>
    <row r="25" spans="1:15" x14ac:dyDescent="0.25">
      <c r="A25" s="48" t="s">
        <v>34</v>
      </c>
      <c r="B25" s="65"/>
      <c r="C25" s="65"/>
      <c r="D25" s="65"/>
      <c r="E25" s="65"/>
      <c r="F25" s="65"/>
      <c r="G25" s="65"/>
      <c r="H25" s="65"/>
      <c r="I25" s="65"/>
      <c r="J25" s="65"/>
      <c r="K25" s="65"/>
      <c r="L25" s="65"/>
      <c r="M25" s="65"/>
      <c r="N25" s="66">
        <f>N10/$N$6*100000</f>
        <v>24.266211604095563</v>
      </c>
      <c r="O25" s="66">
        <f>O10/$O$6*100000</f>
        <v>12.84569158218212</v>
      </c>
    </row>
    <row r="26" spans="1:15" x14ac:dyDescent="0.25">
      <c r="A26" s="48" t="s">
        <v>35</v>
      </c>
      <c r="B26" s="66">
        <f>B12/B6*100000</f>
        <v>0.3349206349206349</v>
      </c>
      <c r="C26" s="66">
        <f t="shared" ref="C26:N26" si="2">C12/C6*100000</f>
        <v>0.26340694006309151</v>
      </c>
      <c r="D26" s="66">
        <f t="shared" si="2"/>
        <v>42.938161375661373</v>
      </c>
      <c r="E26" s="66">
        <f t="shared" si="2"/>
        <v>48.272610372910414</v>
      </c>
      <c r="F26" s="66">
        <f t="shared" si="2"/>
        <v>13.463630806845964</v>
      </c>
      <c r="G26" s="66">
        <f t="shared" si="2"/>
        <v>0.46629104332620946</v>
      </c>
      <c r="H26" s="66">
        <f t="shared" si="2"/>
        <v>29.358819987959059</v>
      </c>
      <c r="I26" s="66">
        <f t="shared" si="2"/>
        <v>0.32113821138211385</v>
      </c>
      <c r="J26" s="66">
        <f t="shared" si="2"/>
        <v>6.8679152291769352</v>
      </c>
      <c r="K26" s="66">
        <f t="shared" si="2"/>
        <v>33.157187639946265</v>
      </c>
      <c r="L26" s="66">
        <f t="shared" si="2"/>
        <v>6.5575951050811385</v>
      </c>
      <c r="M26" s="66">
        <f t="shared" si="2"/>
        <v>6.0097072119760844</v>
      </c>
      <c r="N26" s="66">
        <f t="shared" si="2"/>
        <v>8.634812286689419</v>
      </c>
      <c r="O26" s="66">
        <f t="shared" ref="O26" si="3">O12/O6*100000</f>
        <v>9.2271869111449032</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N32" si="4">B24*$L$6/100000</f>
        <v>2286.996212121212</v>
      </c>
      <c r="C32" s="7">
        <f t="shared" si="4"/>
        <v>3803.1712145110409</v>
      </c>
      <c r="D32" s="7">
        <f t="shared" si="4"/>
        <v>119951.13194444445</v>
      </c>
      <c r="E32" s="7">
        <f t="shared" si="4"/>
        <v>177045.19417059582</v>
      </c>
      <c r="F32" s="7">
        <f t="shared" si="4"/>
        <v>98888.812591687049</v>
      </c>
      <c r="G32" s="7">
        <f t="shared" si="4"/>
        <v>7827.6592189625026</v>
      </c>
      <c r="H32" s="7">
        <f t="shared" si="4"/>
        <v>81170.41119807346</v>
      </c>
      <c r="I32" s="7">
        <f t="shared" si="4"/>
        <v>10218.062195121953</v>
      </c>
      <c r="J32" s="7">
        <f t="shared" si="4"/>
        <v>40847.861754558893</v>
      </c>
      <c r="K32" s="7">
        <f t="shared" si="4"/>
        <v>68086.213166144196</v>
      </c>
      <c r="L32" s="7">
        <f t="shared" si="4"/>
        <v>45341</v>
      </c>
      <c r="M32" s="7">
        <f t="shared" si="4"/>
        <v>35885.800146470414</v>
      </c>
      <c r="N32" s="7">
        <f t="shared" si="4"/>
        <v>59374.238907849824</v>
      </c>
      <c r="O32" s="7">
        <f t="shared" ref="O32" si="5">O24*$L$6/100000</f>
        <v>43118.210215219609</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N34" si="6">B26*$L$6/100000</f>
        <v>125.89666666666666</v>
      </c>
      <c r="C34" s="7">
        <f t="shared" si="6"/>
        <v>99.014668769716096</v>
      </c>
      <c r="D34" s="7">
        <f t="shared" si="6"/>
        <v>16140.454861111109</v>
      </c>
      <c r="E34" s="7">
        <f t="shared" si="6"/>
        <v>18145.674239177024</v>
      </c>
      <c r="F34" s="7">
        <f t="shared" si="6"/>
        <v>5060.9788202933978</v>
      </c>
      <c r="G34" s="7">
        <f t="shared" si="6"/>
        <v>175.27880318632216</v>
      </c>
      <c r="H34" s="7">
        <f t="shared" si="6"/>
        <v>11035.980433473811</v>
      </c>
      <c r="I34" s="7">
        <f t="shared" si="6"/>
        <v>120.7158536585366</v>
      </c>
      <c r="J34" s="7">
        <f t="shared" si="6"/>
        <v>2581.64933464761</v>
      </c>
      <c r="K34" s="7">
        <f t="shared" si="6"/>
        <v>12463.7868338558</v>
      </c>
      <c r="L34" s="7">
        <f t="shared" si="6"/>
        <v>2465</v>
      </c>
      <c r="M34" s="7">
        <f t="shared" si="6"/>
        <v>2259.0489409818101</v>
      </c>
      <c r="N34" s="7">
        <f t="shared" si="6"/>
        <v>3245.8259385665524</v>
      </c>
      <c r="O34" s="7">
        <f t="shared" ref="O34" si="7">O26*$L$6/100000</f>
        <v>3468.4995598993687</v>
      </c>
    </row>
    <row r="35" spans="1:15" hidden="1" x14ac:dyDescent="0.25"/>
    <row r="36" spans="1:15" hidden="1" x14ac:dyDescent="0.25">
      <c r="A36" t="s">
        <v>48</v>
      </c>
      <c r="B36" t="s">
        <v>75</v>
      </c>
    </row>
    <row r="37" spans="1:15" hidden="1" x14ac:dyDescent="0.25">
      <c r="A37" t="s">
        <v>50</v>
      </c>
      <c r="B37" s="7">
        <f>MIN($B$32:$M$32)</f>
        <v>2286.996212121212</v>
      </c>
      <c r="C37" s="7"/>
    </row>
    <row r="38" spans="1:15" hidden="1" x14ac:dyDescent="0.25">
      <c r="A38" t="s">
        <v>51</v>
      </c>
      <c r="B38" s="7">
        <f>MAX(B32:M32)</f>
        <v>177045.19417059582</v>
      </c>
      <c r="C38">
        <f>B38*1.6%</f>
        <v>2832.7231067295329</v>
      </c>
      <c r="D38" t="s">
        <v>78</v>
      </c>
    </row>
    <row r="39" spans="1:15" hidden="1" x14ac:dyDescent="0.25"/>
    <row r="40" spans="1:15" hidden="1" x14ac:dyDescent="0.25">
      <c r="A40" t="s">
        <v>49</v>
      </c>
    </row>
    <row r="41" spans="1:15" hidden="1" x14ac:dyDescent="0.25">
      <c r="A41" t="s">
        <v>50</v>
      </c>
      <c r="B41" s="7">
        <f>MIN(B34:M34)</f>
        <v>99.014668769716096</v>
      </c>
    </row>
    <row r="42" spans="1:15" hidden="1" x14ac:dyDescent="0.25">
      <c r="A42" t="s">
        <v>51</v>
      </c>
      <c r="B42" s="7">
        <f>MAX($B$34:$M$34)</f>
        <v>18145.674239177024</v>
      </c>
      <c r="C42">
        <f>B42*1.6%</f>
        <v>290.33078782683236</v>
      </c>
      <c r="D42" t="s">
        <v>78</v>
      </c>
    </row>
    <row r="43" spans="1:15" hidden="1" x14ac:dyDescent="0.25">
      <c r="B43" s="7"/>
    </row>
    <row r="44" spans="1:15" hidden="1" x14ac:dyDescent="0.25">
      <c r="A44" t="s">
        <v>63</v>
      </c>
      <c r="B44" s="7" t="s">
        <v>65</v>
      </c>
      <c r="C44" t="s">
        <v>66</v>
      </c>
    </row>
    <row r="45" spans="1:15" hidden="1" x14ac:dyDescent="0.25">
      <c r="A45" t="s">
        <v>50</v>
      </c>
      <c r="B45" s="7">
        <f>B19*L9</f>
        <v>6801.15</v>
      </c>
      <c r="C45" s="7">
        <f>B37*B19</f>
        <v>343.0494318181818</v>
      </c>
    </row>
    <row r="46" spans="1:15" hidden="1" x14ac:dyDescent="0.25">
      <c r="A46" t="s">
        <v>51</v>
      </c>
      <c r="B46" s="7">
        <f>L9*D19</f>
        <v>25390.960000000003</v>
      </c>
      <c r="C46" s="7">
        <f>B38*D19</f>
        <v>99145.308735533661</v>
      </c>
      <c r="D46">
        <f>C46*1.6%</f>
        <v>1586.3249397685386</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4534.1000000000004</v>
      </c>
      <c r="C50" s="7">
        <f>B38*D20</f>
        <v>17704.519417059582</v>
      </c>
      <c r="D50">
        <f>C50*1.6%</f>
        <v>283.27231067295332</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8">B24*$M$6/100000</f>
        <v>891.8990759018759</v>
      </c>
      <c r="C55" s="7">
        <f t="shared" si="8"/>
        <v>1483.1878049211359</v>
      </c>
      <c r="D55" s="7">
        <f t="shared" si="8"/>
        <v>46779.396995767202</v>
      </c>
      <c r="E55" s="7">
        <f t="shared" si="8"/>
        <v>69045.346134247768</v>
      </c>
      <c r="F55" s="7">
        <f t="shared" si="8"/>
        <v>38565.363641662596</v>
      </c>
      <c r="G55" s="7">
        <f t="shared" si="8"/>
        <v>3052.6863082960945</v>
      </c>
      <c r="H55" s="7">
        <f t="shared" si="8"/>
        <v>31655.415236122823</v>
      </c>
      <c r="I55" s="7">
        <f t="shared" si="8"/>
        <v>3984.9126907317077</v>
      </c>
      <c r="J55" s="7">
        <f t="shared" si="8"/>
        <v>15930.140136816166</v>
      </c>
      <c r="K55" s="7">
        <f t="shared" si="8"/>
        <v>26552.746472727275</v>
      </c>
      <c r="L55" s="7">
        <f t="shared" si="8"/>
        <v>17682.406199946796</v>
      </c>
      <c r="M55" s="7">
        <f t="shared" si="8"/>
        <v>13995</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9">B26*$M$6/100000</f>
        <v>49.098078984126978</v>
      </c>
      <c r="C57" s="7">
        <f t="shared" si="9"/>
        <v>38.614445930599373</v>
      </c>
      <c r="D57" s="7">
        <f t="shared" si="9"/>
        <v>6294.5695751322746</v>
      </c>
      <c r="E57" s="7">
        <f t="shared" si="9"/>
        <v>7076.5793138448344</v>
      </c>
      <c r="F57" s="7">
        <f t="shared" si="9"/>
        <v>1973.7165759413201</v>
      </c>
      <c r="G57" s="7">
        <f t="shared" si="9"/>
        <v>68.356476394015928</v>
      </c>
      <c r="H57" s="7">
        <f t="shared" si="9"/>
        <v>4303.8902723660449</v>
      </c>
      <c r="I57" s="7">
        <f t="shared" si="9"/>
        <v>47.077628617886184</v>
      </c>
      <c r="J57" s="7">
        <f t="shared" si="9"/>
        <v>1006.8099998028587</v>
      </c>
      <c r="K57" s="7">
        <f t="shared" si="9"/>
        <v>4860.7163844155848</v>
      </c>
      <c r="L57" s="7">
        <f t="shared" si="9"/>
        <v>961.31826123969142</v>
      </c>
      <c r="M57" s="7">
        <f t="shared" si="9"/>
        <v>881</v>
      </c>
      <c r="N57" s="7"/>
    </row>
    <row r="58" spans="1:14" hidden="1" x14ac:dyDescent="0.25"/>
    <row r="59" spans="1:14" hidden="1" x14ac:dyDescent="0.25">
      <c r="A59" t="s">
        <v>48</v>
      </c>
    </row>
    <row r="60" spans="1:14" hidden="1" x14ac:dyDescent="0.25">
      <c r="A60" t="s">
        <v>50</v>
      </c>
      <c r="B60" s="7">
        <f>MIN($B$55:$M$55)</f>
        <v>891.8990759018759</v>
      </c>
    </row>
    <row r="61" spans="1:14" hidden="1" x14ac:dyDescent="0.25">
      <c r="A61" t="s">
        <v>51</v>
      </c>
      <c r="B61" s="7">
        <f>MAX($B$55:$M$55)</f>
        <v>69045.346134247768</v>
      </c>
    </row>
    <row r="62" spans="1:14" hidden="1" x14ac:dyDescent="0.25"/>
    <row r="63" spans="1:14" hidden="1" x14ac:dyDescent="0.25">
      <c r="A63" t="s">
        <v>49</v>
      </c>
    </row>
    <row r="64" spans="1:14" hidden="1" x14ac:dyDescent="0.25">
      <c r="A64" t="s">
        <v>50</v>
      </c>
      <c r="B64" s="7">
        <f>MIN($B$57:$M$57)</f>
        <v>38.614445930599373</v>
      </c>
    </row>
    <row r="65" spans="1:14" hidden="1" x14ac:dyDescent="0.25">
      <c r="A65" t="s">
        <v>51</v>
      </c>
      <c r="B65" s="7">
        <f>MAX($B$57:$M$57)</f>
        <v>7076.5793138448344</v>
      </c>
    </row>
    <row r="66" spans="1:14" hidden="1" x14ac:dyDescent="0.25">
      <c r="B66" s="7"/>
    </row>
    <row r="67" spans="1:14" hidden="1" x14ac:dyDescent="0.25">
      <c r="A67" t="s">
        <v>63</v>
      </c>
      <c r="B67" s="7" t="s">
        <v>77</v>
      </c>
      <c r="C67" t="s">
        <v>76</v>
      </c>
    </row>
    <row r="68" spans="1:14" hidden="1" x14ac:dyDescent="0.25">
      <c r="A68" t="s">
        <v>50</v>
      </c>
      <c r="B68" s="7">
        <f>B19*M9</f>
        <v>2099.25</v>
      </c>
    </row>
    <row r="69" spans="1:14" hidden="1" x14ac:dyDescent="0.25">
      <c r="A69" t="s">
        <v>51</v>
      </c>
      <c r="B69" s="7">
        <f>D19*M9</f>
        <v>7837.2000000000007</v>
      </c>
      <c r="C69" s="7">
        <f>B61*D19</f>
        <v>38665.393835178751</v>
      </c>
    </row>
    <row r="70" spans="1:14" hidden="1" x14ac:dyDescent="0.25">
      <c r="B70" s="7"/>
    </row>
    <row r="71" spans="1:14" hidden="1" x14ac:dyDescent="0.25">
      <c r="A71" t="s">
        <v>64</v>
      </c>
      <c r="B71" s="7" t="s">
        <v>77</v>
      </c>
      <c r="C71" t="s">
        <v>76</v>
      </c>
    </row>
    <row r="72" spans="1:14" hidden="1" x14ac:dyDescent="0.25">
      <c r="A72" t="s">
        <v>50</v>
      </c>
      <c r="B72" s="7">
        <f>B20*M9</f>
        <v>699.75</v>
      </c>
    </row>
    <row r="73" spans="1:14" hidden="1" x14ac:dyDescent="0.25">
      <c r="A73" t="s">
        <v>51</v>
      </c>
      <c r="B73">
        <f>D20*M9</f>
        <v>1399.5</v>
      </c>
      <c r="C73" s="7">
        <f>B61*D20</f>
        <v>6904.5346134247775</v>
      </c>
    </row>
    <row r="75" spans="1:14" x14ac:dyDescent="0.25">
      <c r="A75" s="10" t="s">
        <v>52</v>
      </c>
    </row>
    <row r="77" spans="1:14" x14ac:dyDescent="0.25">
      <c r="A77" s="48" t="s">
        <v>48</v>
      </c>
      <c r="B77" s="43">
        <f t="shared" ref="B77:M77" si="10">B24*$O$6/100000</f>
        <v>33.627453255772011</v>
      </c>
      <c r="C77" s="43">
        <f t="shared" si="10"/>
        <v>55.920933126971612</v>
      </c>
      <c r="D77" s="43">
        <f t="shared" si="10"/>
        <v>1763.7331715112437</v>
      </c>
      <c r="E77" s="43">
        <f t="shared" si="10"/>
        <v>2603.2308053579086</v>
      </c>
      <c r="F77" s="43">
        <f t="shared" si="10"/>
        <v>1454.0377921577019</v>
      </c>
      <c r="G77" s="43">
        <f t="shared" si="10"/>
        <v>115.09605616864194</v>
      </c>
      <c r="H77" s="43">
        <f t="shared" si="10"/>
        <v>1193.5105943106564</v>
      </c>
      <c r="I77" s="43">
        <f t="shared" si="10"/>
        <v>150.24397810975611</v>
      </c>
      <c r="J77" s="43">
        <f t="shared" si="10"/>
        <v>600.61733135781174</v>
      </c>
      <c r="K77" s="43">
        <f t="shared" si="10"/>
        <v>1001.1236304075235</v>
      </c>
      <c r="L77" s="43">
        <f t="shared" si="10"/>
        <v>666.68337708167064</v>
      </c>
      <c r="M77" s="43">
        <f t="shared" si="10"/>
        <v>527.65634703528394</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11">B26*$O$6/100000</f>
        <v>1.8511549126984126</v>
      </c>
      <c r="C79" s="43">
        <f t="shared" si="11"/>
        <v>1.4558883517350161</v>
      </c>
      <c r="D79" s="43">
        <f t="shared" si="11"/>
        <v>237.32544395667989</v>
      </c>
      <c r="E79" s="43">
        <f t="shared" si="11"/>
        <v>266.80971705957995</v>
      </c>
      <c r="F79" s="43">
        <f t="shared" si="11"/>
        <v>74.415439695904638</v>
      </c>
      <c r="G79" s="43">
        <f t="shared" si="11"/>
        <v>2.577258208665242</v>
      </c>
      <c r="H79" s="43">
        <f t="shared" si="11"/>
        <v>162.27045510234797</v>
      </c>
      <c r="I79" s="43">
        <f t="shared" si="11"/>
        <v>1.7749774593495935</v>
      </c>
      <c r="J79" s="43">
        <f t="shared" si="11"/>
        <v>37.959963319369152</v>
      </c>
      <c r="K79" s="43">
        <f t="shared" si="11"/>
        <v>183.26458387819082</v>
      </c>
      <c r="L79" s="43">
        <f t="shared" si="11"/>
        <v>36.244778997073688</v>
      </c>
      <c r="M79" s="43">
        <f t="shared" si="11"/>
        <v>33.216523168137556</v>
      </c>
      <c r="N79" s="7"/>
    </row>
    <row r="81" spans="1:3" x14ac:dyDescent="0.25">
      <c r="A81" s="65" t="s">
        <v>48</v>
      </c>
      <c r="B81" s="65" t="s">
        <v>72</v>
      </c>
      <c r="C81" s="65" t="s">
        <v>73</v>
      </c>
    </row>
    <row r="82" spans="1:3" x14ac:dyDescent="0.25">
      <c r="A82" s="65" t="s">
        <v>50</v>
      </c>
      <c r="B82" s="66">
        <f>MIN($B$77:$M$77)</f>
        <v>33.627453255772011</v>
      </c>
      <c r="C82" s="66">
        <f>MIN($C$77:$M$77)</f>
        <v>55.920933126971612</v>
      </c>
    </row>
    <row r="83" spans="1:3" x14ac:dyDescent="0.25">
      <c r="A83" s="65" t="s">
        <v>51</v>
      </c>
      <c r="B83" s="66">
        <f>MAX($B$77:$M$77)</f>
        <v>2603.2308053579086</v>
      </c>
      <c r="C83" s="66">
        <f>MAX($C$77:$M$77)</f>
        <v>2603.2308053579086</v>
      </c>
    </row>
    <row r="84" spans="1:3" x14ac:dyDescent="0.25">
      <c r="A84" s="65"/>
      <c r="B84" s="65"/>
      <c r="C84" s="65"/>
    </row>
    <row r="85" spans="1:3" x14ac:dyDescent="0.25">
      <c r="A85" s="65" t="s">
        <v>49</v>
      </c>
      <c r="B85" s="65"/>
      <c r="C85" s="65"/>
    </row>
    <row r="86" spans="1:3" x14ac:dyDescent="0.25">
      <c r="A86" s="65" t="s">
        <v>50</v>
      </c>
      <c r="B86" s="66">
        <f>MIN($B$79:$M$79)</f>
        <v>1.4558883517350161</v>
      </c>
      <c r="C86" s="66">
        <f>MIN($C$79:$M$79)</f>
        <v>1.4558883517350161</v>
      </c>
    </row>
    <row r="87" spans="1:3" x14ac:dyDescent="0.25">
      <c r="A87" s="65" t="s">
        <v>51</v>
      </c>
      <c r="B87" s="66">
        <f>MAX($B$79:$M$79)</f>
        <v>266.80971705957995</v>
      </c>
      <c r="C87" s="66">
        <f>MAX($C$79:$M$79)</f>
        <v>266.80971705957995</v>
      </c>
    </row>
    <row r="88" spans="1:3" x14ac:dyDescent="0.25">
      <c r="A88" s="65"/>
      <c r="B88" s="65"/>
      <c r="C88" s="65"/>
    </row>
    <row r="89" spans="1:3" x14ac:dyDescent="0.25">
      <c r="A89" s="65" t="s">
        <v>27</v>
      </c>
      <c r="B89" s="65"/>
      <c r="C89" s="65"/>
    </row>
    <row r="90" spans="1:3" x14ac:dyDescent="0.25">
      <c r="A90" s="65" t="s">
        <v>50</v>
      </c>
      <c r="B90" s="66">
        <f>B82*$D$19</f>
        <v>18.83137382323233</v>
      </c>
      <c r="C90" s="66">
        <f>C82*$D$19</f>
        <v>31.315722551104106</v>
      </c>
    </row>
    <row r="91" spans="1:3" x14ac:dyDescent="0.25">
      <c r="A91" s="65" t="s">
        <v>51</v>
      </c>
      <c r="B91" s="66">
        <f>B83*$D$19</f>
        <v>1457.809251000429</v>
      </c>
      <c r="C91" s="66">
        <f>C83*$D$19</f>
        <v>1457.809251000429</v>
      </c>
    </row>
    <row r="92" spans="1:3" x14ac:dyDescent="0.25">
      <c r="A92" s="65"/>
      <c r="B92" s="66"/>
      <c r="C92" s="65"/>
    </row>
    <row r="93" spans="1:3" x14ac:dyDescent="0.25">
      <c r="A93" s="65" t="s">
        <v>62</v>
      </c>
      <c r="B93" s="66"/>
      <c r="C93" s="65"/>
    </row>
    <row r="94" spans="1:3" x14ac:dyDescent="0.25">
      <c r="A94" s="65" t="s">
        <v>50</v>
      </c>
      <c r="B94" s="66">
        <f>B82*$D$20</f>
        <v>3.3627453255772011</v>
      </c>
      <c r="C94" s="66">
        <f>C82*$D$20</f>
        <v>5.5920933126971617</v>
      </c>
    </row>
    <row r="95" spans="1:3" x14ac:dyDescent="0.25">
      <c r="A95" s="65" t="s">
        <v>51</v>
      </c>
      <c r="B95" s="66">
        <f>B83*$D$20</f>
        <v>260.32308053579089</v>
      </c>
      <c r="C95" s="66">
        <f>C83*$D$20</f>
        <v>260.32308053579089</v>
      </c>
    </row>
  </sheetData>
  <hyperlinks>
    <hyperlink ref="D18" r:id="rId1" xr:uid="{B12D0995-254A-451B-81D0-8180A592E2E3}"/>
    <hyperlink ref="B18" r:id="rId2" xr:uid="{2B407A17-2910-4274-86EE-42552EAA92F0}"/>
    <hyperlink ref="B1" r:id="rId3" xr:uid="{FBC18ABD-477B-44DE-9D3E-38DA00BFA68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97A6-299A-4012-AA96-AEB9CD16562E}">
  <sheetPr codeName="Sheet5"/>
  <dimension ref="A1:C12"/>
  <sheetViews>
    <sheetView workbookViewId="0">
      <selection activeCell="A2" sqref="A2"/>
    </sheetView>
  </sheetViews>
  <sheetFormatPr defaultRowHeight="15" x14ac:dyDescent="0.25"/>
  <sheetData>
    <row r="1" spans="1:3" x14ac:dyDescent="0.25">
      <c r="A1" t="s">
        <v>103</v>
      </c>
    </row>
    <row r="2" spans="1:3" x14ac:dyDescent="0.25">
      <c r="A2" t="s">
        <v>94</v>
      </c>
    </row>
    <row r="3" spans="1:3" x14ac:dyDescent="0.25">
      <c r="B3" t="s">
        <v>48</v>
      </c>
      <c r="C3">
        <v>1700</v>
      </c>
    </row>
    <row r="4" spans="1:3" x14ac:dyDescent="0.25">
      <c r="B4" t="s">
        <v>27</v>
      </c>
      <c r="C4">
        <f>C3*0.56</f>
        <v>952.00000000000011</v>
      </c>
    </row>
    <row r="5" spans="1:3" x14ac:dyDescent="0.25">
      <c r="B5" t="s">
        <v>62</v>
      </c>
      <c r="C5">
        <f>C3*0.1</f>
        <v>170</v>
      </c>
    </row>
    <row r="9" spans="1:3" x14ac:dyDescent="0.25">
      <c r="A9" t="s">
        <v>93</v>
      </c>
    </row>
    <row r="10" spans="1:3" x14ac:dyDescent="0.25">
      <c r="B10" t="s">
        <v>48</v>
      </c>
      <c r="C10">
        <v>2800</v>
      </c>
    </row>
    <row r="11" spans="1:3" x14ac:dyDescent="0.25">
      <c r="B11" t="s">
        <v>27</v>
      </c>
      <c r="C11">
        <f>C10*0.56</f>
        <v>1568.0000000000002</v>
      </c>
    </row>
    <row r="12" spans="1:3" x14ac:dyDescent="0.25">
      <c r="B12" t="s">
        <v>62</v>
      </c>
      <c r="C12">
        <f>C10*0.1</f>
        <v>280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33515-7679-4928-9236-478F6D9FFC83}">
  <sheetPr codeName="Sheet22"/>
  <dimension ref="A1:P94"/>
  <sheetViews>
    <sheetView topLeftCell="A7" workbookViewId="0">
      <selection activeCell="C75" sqref="C75"/>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6" bestFit="1" customWidth="1"/>
  </cols>
  <sheetData>
    <row r="1" spans="1:16" x14ac:dyDescent="0.25">
      <c r="A1" s="26">
        <v>43916</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131</v>
      </c>
      <c r="C4" s="54">
        <v>71</v>
      </c>
      <c r="D4" s="54">
        <v>56</v>
      </c>
      <c r="E4" s="54">
        <v>56</v>
      </c>
      <c r="F4" s="54">
        <v>66</v>
      </c>
      <c r="G4" s="54">
        <v>66</v>
      </c>
      <c r="H4" s="54">
        <v>56</v>
      </c>
      <c r="I4" s="54">
        <v>62</v>
      </c>
      <c r="J4" s="54">
        <v>37</v>
      </c>
      <c r="K4" s="57">
        <v>37</v>
      </c>
      <c r="L4" s="62">
        <v>62</v>
      </c>
      <c r="M4" s="54">
        <v>62</v>
      </c>
      <c r="N4" s="54">
        <v>62</v>
      </c>
      <c r="O4" s="67">
        <v>22</v>
      </c>
    </row>
    <row r="5" spans="1:16" x14ac:dyDescent="0.25">
      <c r="A5" s="48" t="s">
        <v>33</v>
      </c>
      <c r="B5" s="48"/>
      <c r="C5" s="48"/>
      <c r="D5" s="48"/>
      <c r="E5" s="48"/>
      <c r="F5" s="48"/>
      <c r="G5" s="48"/>
      <c r="H5" s="48"/>
      <c r="I5" s="48"/>
      <c r="J5" s="48"/>
      <c r="K5" s="55"/>
      <c r="L5" s="60"/>
      <c r="M5" s="48"/>
      <c r="N5" s="48"/>
      <c r="O5" s="67"/>
    </row>
    <row r="6" spans="1:16" x14ac:dyDescent="0.25">
      <c r="A6" s="48" t="s">
        <v>32</v>
      </c>
      <c r="B6" s="43">
        <v>142823000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81961</v>
      </c>
      <c r="C9" s="54">
        <v>1291</v>
      </c>
      <c r="D9" s="54">
        <v>74386</v>
      </c>
      <c r="E9" s="54">
        <v>47610</v>
      </c>
      <c r="F9" s="54">
        <v>63570</v>
      </c>
      <c r="G9" s="54">
        <v>9241</v>
      </c>
      <c r="H9" s="54">
        <v>9533</v>
      </c>
      <c r="I9" s="54">
        <v>2799</v>
      </c>
      <c r="J9" s="54">
        <v>27017</v>
      </c>
      <c r="K9" s="57">
        <v>24920</v>
      </c>
      <c r="L9" s="62">
        <v>4108</v>
      </c>
      <c r="M9" s="54">
        <v>858</v>
      </c>
      <c r="N9" s="54">
        <v>339</v>
      </c>
      <c r="O9" s="67">
        <v>69</v>
      </c>
      <c r="P9" s="1"/>
    </row>
    <row r="10" spans="1:16" x14ac:dyDescent="0.25">
      <c r="A10" s="48" t="s">
        <v>34</v>
      </c>
      <c r="B10" s="54"/>
      <c r="C10" s="54"/>
      <c r="D10" s="54"/>
      <c r="E10" s="54"/>
      <c r="F10" s="54"/>
      <c r="G10" s="54"/>
      <c r="H10" s="54"/>
      <c r="I10" s="54"/>
      <c r="J10" s="54"/>
      <c r="K10" s="57"/>
      <c r="L10" s="62"/>
      <c r="M10" s="54"/>
      <c r="N10" s="54">
        <v>22</v>
      </c>
      <c r="O10" s="67">
        <v>11</v>
      </c>
    </row>
    <row r="11" spans="1:16" x14ac:dyDescent="0.25">
      <c r="A11" s="48" t="s">
        <v>35</v>
      </c>
      <c r="B11" s="54">
        <v>3293</v>
      </c>
      <c r="C11" s="54">
        <v>45</v>
      </c>
      <c r="D11" s="54">
        <v>7505</v>
      </c>
      <c r="E11" s="54">
        <v>343</v>
      </c>
      <c r="F11" s="54">
        <v>884</v>
      </c>
      <c r="G11" s="54">
        <v>131</v>
      </c>
      <c r="H11" s="54">
        <v>463</v>
      </c>
      <c r="I11" s="54">
        <v>11</v>
      </c>
      <c r="J11" s="54">
        <v>2077</v>
      </c>
      <c r="K11" s="57">
        <v>1331</v>
      </c>
      <c r="L11" s="62">
        <v>39</v>
      </c>
      <c r="M11" s="54">
        <v>15</v>
      </c>
      <c r="N11" s="54">
        <v>4</v>
      </c>
      <c r="O11" s="67">
        <v>0</v>
      </c>
    </row>
    <row r="13" spans="1:16" x14ac:dyDescent="0.25">
      <c r="A13" s="48" t="s">
        <v>36</v>
      </c>
      <c r="B13" s="48"/>
      <c r="C13" s="48"/>
      <c r="D13" s="48"/>
      <c r="E13" s="48"/>
      <c r="F13" s="48"/>
      <c r="G13" s="48"/>
      <c r="H13" s="48"/>
      <c r="I13" s="48"/>
      <c r="J13" s="48"/>
      <c r="K13" s="48"/>
      <c r="L13" s="48"/>
      <c r="M13" s="48"/>
      <c r="N13" s="48"/>
      <c r="O13" s="48"/>
    </row>
    <row r="14" spans="1:16" x14ac:dyDescent="0.25">
      <c r="A14" s="48" t="s">
        <v>34</v>
      </c>
      <c r="B14" s="48"/>
      <c r="C14" s="48"/>
      <c r="D14" s="48"/>
      <c r="E14" s="48"/>
      <c r="F14" s="48"/>
      <c r="G14" s="48"/>
      <c r="H14" s="48"/>
      <c r="I14" s="48"/>
      <c r="J14" s="48"/>
      <c r="K14" s="48"/>
      <c r="L14" s="48"/>
      <c r="M14" s="48"/>
      <c r="N14" s="48"/>
      <c r="O14" s="48"/>
    </row>
    <row r="15" spans="1:16" x14ac:dyDescent="0.25">
      <c r="A15" s="48" t="s">
        <v>35</v>
      </c>
      <c r="B15" s="71">
        <f>B11/B9</f>
        <v>4.0177645465526289E-2</v>
      </c>
      <c r="C15" s="71">
        <f t="shared" ref="C15:O15" si="0">C11/C9</f>
        <v>3.4856700232378003E-2</v>
      </c>
      <c r="D15" s="71">
        <f t="shared" si="0"/>
        <v>0.10089264108837684</v>
      </c>
      <c r="E15" s="71">
        <f t="shared" si="0"/>
        <v>7.204368830077715E-3</v>
      </c>
      <c r="F15" s="71">
        <f t="shared" si="0"/>
        <v>1.3905930470347648E-2</v>
      </c>
      <c r="G15" s="71">
        <f t="shared" si="0"/>
        <v>1.4175954983226923E-2</v>
      </c>
      <c r="H15" s="71">
        <f t="shared" si="0"/>
        <v>4.8568131752858491E-2</v>
      </c>
      <c r="I15" s="71">
        <f t="shared" si="0"/>
        <v>3.9299749910682389E-3</v>
      </c>
      <c r="J15" s="71">
        <f t="shared" si="0"/>
        <v>7.6877521560498943E-2</v>
      </c>
      <c r="K15" s="71">
        <f t="shared" si="0"/>
        <v>5.3410914927768859E-2</v>
      </c>
      <c r="L15" s="71">
        <f t="shared" si="0"/>
        <v>9.4936708860759497E-3</v>
      </c>
      <c r="M15" s="71">
        <f t="shared" si="0"/>
        <v>1.7482517482517484E-2</v>
      </c>
      <c r="N15" s="71">
        <f t="shared" si="0"/>
        <v>1.1799410029498525E-2</v>
      </c>
      <c r="O15" s="7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s="48" t="s">
        <v>58</v>
      </c>
      <c r="B18" s="72">
        <v>0.15</v>
      </c>
      <c r="C18" s="72"/>
      <c r="D18" s="72">
        <v>0.56000000000000005</v>
      </c>
      <c r="E18" s="72"/>
      <c r="F18" s="72"/>
      <c r="G18" s="72"/>
      <c r="H18" s="72"/>
      <c r="I18" s="72"/>
      <c r="J18" s="72"/>
      <c r="K18" s="72"/>
      <c r="L18" s="72">
        <v>0.13</v>
      </c>
      <c r="M18" s="72"/>
      <c r="N18" s="72">
        <f>N10/N9</f>
        <v>6.4896755162241887E-2</v>
      </c>
      <c r="O18" s="72">
        <f>O10/O9</f>
        <v>0.15942028985507245</v>
      </c>
    </row>
    <row r="19" spans="1:15" x14ac:dyDescent="0.25">
      <c r="A19" s="48" t="s">
        <v>59</v>
      </c>
      <c r="B19" s="72">
        <v>0.05</v>
      </c>
      <c r="C19" s="72"/>
      <c r="D19" s="72">
        <v>0.1</v>
      </c>
      <c r="E19" s="72"/>
      <c r="F19" s="72"/>
      <c r="G19" s="72"/>
      <c r="H19" s="72"/>
      <c r="I19" s="72"/>
      <c r="J19" s="72"/>
      <c r="K19" s="72"/>
      <c r="L19" s="72"/>
      <c r="M19" s="72"/>
      <c r="N19" s="72">
        <v>0.04</v>
      </c>
      <c r="O19" s="73"/>
    </row>
    <row r="20" spans="1:15" x14ac:dyDescent="0.25">
      <c r="B20" s="1"/>
      <c r="C20" s="1"/>
      <c r="D20" s="1"/>
      <c r="E20" s="1"/>
      <c r="F20" s="1"/>
      <c r="G20" s="1"/>
      <c r="H20" s="1"/>
      <c r="I20" s="1"/>
      <c r="J20" s="1"/>
      <c r="K20" s="1"/>
      <c r="L20" s="1"/>
      <c r="M20" s="1"/>
      <c r="N20" s="2"/>
    </row>
    <row r="22" spans="1:15" x14ac:dyDescent="0.25">
      <c r="A22" t="s">
        <v>42</v>
      </c>
    </row>
    <row r="23" spans="1:15" x14ac:dyDescent="0.25">
      <c r="A23" s="48" t="s">
        <v>41</v>
      </c>
      <c r="B23" s="66">
        <f t="shared" ref="B23:M23" si="1">B9/B6*100000</f>
        <v>57.386415353269435</v>
      </c>
      <c r="C23" s="66">
        <f t="shared" si="1"/>
        <v>1.0181388012618298</v>
      </c>
      <c r="D23" s="66">
        <f t="shared" si="1"/>
        <v>122.99272486772487</v>
      </c>
      <c r="E23" s="66">
        <f t="shared" si="1"/>
        <v>102.03600514359194</v>
      </c>
      <c r="F23" s="66">
        <f t="shared" si="1"/>
        <v>19.428484107579461</v>
      </c>
      <c r="G23" s="66">
        <f t="shared" si="1"/>
        <v>17.954148047406253</v>
      </c>
      <c r="H23" s="66">
        <f t="shared" si="1"/>
        <v>14.348284166164962</v>
      </c>
      <c r="I23" s="66">
        <f t="shared" si="1"/>
        <v>11.378048780487804</v>
      </c>
      <c r="J23" s="66">
        <f t="shared" si="1"/>
        <v>33.288565795958604</v>
      </c>
      <c r="K23" s="66">
        <f t="shared" si="1"/>
        <v>37.199582027168233</v>
      </c>
      <c r="L23" s="66">
        <f t="shared" si="1"/>
        <v>10.928438414471934</v>
      </c>
      <c r="M23" s="66">
        <f t="shared" si="1"/>
        <v>5.8528136071231334</v>
      </c>
      <c r="N23" s="66">
        <f>N9/$N$6*100000</f>
        <v>11.569965870307167</v>
      </c>
      <c r="O23" s="66">
        <f>O9/$O$6*100000</f>
        <v>12.483841115078398</v>
      </c>
    </row>
    <row r="24" spans="1:15" x14ac:dyDescent="0.25">
      <c r="A24" s="48" t="s">
        <v>34</v>
      </c>
      <c r="B24" s="65"/>
      <c r="C24" s="65"/>
      <c r="D24" s="65"/>
      <c r="E24" s="65"/>
      <c r="F24" s="65"/>
      <c r="G24" s="65"/>
      <c r="H24" s="65"/>
      <c r="I24" s="65"/>
      <c r="J24" s="65"/>
      <c r="K24" s="65"/>
      <c r="L24" s="65"/>
      <c r="M24" s="65"/>
      <c r="N24" s="66">
        <f>N10/$N$6*100000</f>
        <v>0.75085324232081907</v>
      </c>
      <c r="O24" s="66">
        <f>O10/$O$6*100000</f>
        <v>1.9901775690704693</v>
      </c>
    </row>
    <row r="25" spans="1:15" x14ac:dyDescent="0.25">
      <c r="A25" s="48" t="s">
        <v>35</v>
      </c>
      <c r="B25" s="66">
        <f>B11/B6*100000</f>
        <v>2.3056510506010937</v>
      </c>
      <c r="C25" s="66">
        <f t="shared" ref="C25:O25" si="2">C11/C6*100000</f>
        <v>3.5488958990536279E-2</v>
      </c>
      <c r="D25" s="66">
        <f t="shared" si="2"/>
        <v>12.409060846560848</v>
      </c>
      <c r="E25" s="66">
        <f t="shared" si="2"/>
        <v>0.73510501500214309</v>
      </c>
      <c r="F25" s="66">
        <f t="shared" si="2"/>
        <v>0.27017114914425427</v>
      </c>
      <c r="G25" s="66">
        <f t="shared" si="2"/>
        <v>0.25451719448222265</v>
      </c>
      <c r="H25" s="66">
        <f t="shared" si="2"/>
        <v>0.69686935580975307</v>
      </c>
      <c r="I25" s="66">
        <f t="shared" si="2"/>
        <v>4.4715447154471545E-2</v>
      </c>
      <c r="J25" s="66">
        <f t="shared" si="2"/>
        <v>2.559142434696895</v>
      </c>
      <c r="K25" s="66">
        <f t="shared" si="2"/>
        <v>1.9868637110016421</v>
      </c>
      <c r="L25" s="66">
        <f t="shared" si="2"/>
        <v>0.1037509976057462</v>
      </c>
      <c r="M25" s="66">
        <f t="shared" si="2"/>
        <v>0.10232191620844638</v>
      </c>
      <c r="N25" s="66">
        <f t="shared" si="2"/>
        <v>0.13651877133105803</v>
      </c>
      <c r="O25" s="66">
        <f t="shared" si="2"/>
        <v>0</v>
      </c>
    </row>
    <row r="26" spans="1:15" x14ac:dyDescent="0.25">
      <c r="N26" s="1"/>
      <c r="O26" s="31"/>
    </row>
    <row r="28" spans="1:15" hidden="1" x14ac:dyDescent="0.25">
      <c r="A28" s="10" t="s">
        <v>74</v>
      </c>
    </row>
    <row r="29" spans="1:15" hidden="1" x14ac:dyDescent="0.25"/>
    <row r="30" spans="1:15" hidden="1" x14ac:dyDescent="0.25"/>
    <row r="31" spans="1:15" hidden="1" x14ac:dyDescent="0.25">
      <c r="A31" t="s">
        <v>48</v>
      </c>
      <c r="B31" s="7">
        <f t="shared" ref="B31:O31" si="3">B23*$L$6/100000</f>
        <v>21571.553531293979</v>
      </c>
      <c r="C31" s="7">
        <f t="shared" si="3"/>
        <v>382.71837539432181</v>
      </c>
      <c r="D31" s="7">
        <f t="shared" si="3"/>
        <v>46232.965277777774</v>
      </c>
      <c r="E31" s="7">
        <f t="shared" si="3"/>
        <v>38355.33433347621</v>
      </c>
      <c r="F31" s="7">
        <f t="shared" si="3"/>
        <v>7303.16717603912</v>
      </c>
      <c r="G31" s="7">
        <f t="shared" si="3"/>
        <v>6748.964251020011</v>
      </c>
      <c r="H31" s="7">
        <f t="shared" si="3"/>
        <v>5393.5200180614092</v>
      </c>
      <c r="I31" s="7">
        <f t="shared" si="3"/>
        <v>4277.0085365853656</v>
      </c>
      <c r="J31" s="7">
        <f t="shared" si="3"/>
        <v>12513.171882700839</v>
      </c>
      <c r="K31" s="7">
        <f t="shared" si="3"/>
        <v>13983.322884012539</v>
      </c>
      <c r="L31" s="7">
        <f t="shared" si="3"/>
        <v>4108</v>
      </c>
      <c r="M31" s="7">
        <f t="shared" si="3"/>
        <v>2200.0726349175857</v>
      </c>
      <c r="N31" s="7">
        <f t="shared" si="3"/>
        <v>4349.1501706484642</v>
      </c>
      <c r="O31" s="7">
        <f t="shared" si="3"/>
        <v>4692.67587515797</v>
      </c>
    </row>
    <row r="32" spans="1:15" hidden="1" x14ac:dyDescent="0.25">
      <c r="B32" s="7"/>
      <c r="C32" s="7"/>
      <c r="D32" s="7"/>
      <c r="E32" s="7"/>
      <c r="F32" s="7"/>
      <c r="G32" s="7"/>
      <c r="H32" s="7"/>
      <c r="I32" s="7"/>
      <c r="J32" s="7"/>
      <c r="K32" s="7"/>
      <c r="L32" s="7"/>
      <c r="M32" s="7"/>
      <c r="N32" s="7"/>
      <c r="O32" s="7"/>
    </row>
    <row r="33" spans="1:15" hidden="1" x14ac:dyDescent="0.25">
      <c r="A33" t="s">
        <v>49</v>
      </c>
      <c r="B33" s="7">
        <f t="shared" ref="B33:O33" si="4">B25*$L$6/100000</f>
        <v>866.6942299209511</v>
      </c>
      <c r="C33" s="7">
        <f t="shared" si="4"/>
        <v>13.340299684542588</v>
      </c>
      <c r="D33" s="7">
        <f t="shared" si="4"/>
        <v>4664.5659722222226</v>
      </c>
      <c r="E33" s="7">
        <f t="shared" si="4"/>
        <v>276.32597513930557</v>
      </c>
      <c r="F33" s="7">
        <f t="shared" si="4"/>
        <v>101.55733496332519</v>
      </c>
      <c r="G33" s="7">
        <f t="shared" si="4"/>
        <v>95.673013405867493</v>
      </c>
      <c r="H33" s="7">
        <f t="shared" si="4"/>
        <v>261.95319084888621</v>
      </c>
      <c r="I33" s="7">
        <f t="shared" si="4"/>
        <v>16.808536585365854</v>
      </c>
      <c r="J33" s="7">
        <f t="shared" si="4"/>
        <v>961.98164120256274</v>
      </c>
      <c r="K33" s="7">
        <f t="shared" si="4"/>
        <v>746.86206896551732</v>
      </c>
      <c r="L33" s="7">
        <f t="shared" si="4"/>
        <v>38.999999999999993</v>
      </c>
      <c r="M33" s="7">
        <f t="shared" si="4"/>
        <v>38.462808302755001</v>
      </c>
      <c r="N33" s="7">
        <f t="shared" si="4"/>
        <v>51.317406143344712</v>
      </c>
      <c r="O33" s="7">
        <f t="shared" si="4"/>
        <v>0</v>
      </c>
    </row>
    <row r="34" spans="1:15" hidden="1" x14ac:dyDescent="0.25"/>
    <row r="35" spans="1:15" hidden="1" x14ac:dyDescent="0.25">
      <c r="A35" t="s">
        <v>48</v>
      </c>
      <c r="B35" t="s">
        <v>75</v>
      </c>
    </row>
    <row r="36" spans="1:15" hidden="1" x14ac:dyDescent="0.25">
      <c r="A36" t="s">
        <v>50</v>
      </c>
      <c r="B36" s="7">
        <f>MIN($B$31:$M$31)</f>
        <v>382.71837539432181</v>
      </c>
      <c r="C36" s="7"/>
    </row>
    <row r="37" spans="1:15" hidden="1" x14ac:dyDescent="0.25">
      <c r="A37" t="s">
        <v>51</v>
      </c>
      <c r="B37" s="7">
        <f>MAX(B31:M31)</f>
        <v>46232.965277777774</v>
      </c>
      <c r="C37">
        <f>B37*1.6%</f>
        <v>739.72744444444436</v>
      </c>
      <c r="D37" t="s">
        <v>78</v>
      </c>
    </row>
    <row r="38" spans="1:15" hidden="1" x14ac:dyDescent="0.25"/>
    <row r="39" spans="1:15" hidden="1" x14ac:dyDescent="0.25">
      <c r="A39" t="s">
        <v>49</v>
      </c>
    </row>
    <row r="40" spans="1:15" hidden="1" x14ac:dyDescent="0.25">
      <c r="A40" t="s">
        <v>50</v>
      </c>
      <c r="B40" s="7">
        <f>MIN(B33:M33)</f>
        <v>13.340299684542588</v>
      </c>
    </row>
    <row r="41" spans="1:15" hidden="1" x14ac:dyDescent="0.25">
      <c r="A41" t="s">
        <v>51</v>
      </c>
      <c r="B41" s="7">
        <f>MAX($B$33:$M$33)</f>
        <v>4664.5659722222226</v>
      </c>
      <c r="C41">
        <f>B41*1.6%</f>
        <v>74.633055555555558</v>
      </c>
      <c r="D41" t="s">
        <v>78</v>
      </c>
    </row>
    <row r="42" spans="1:15" hidden="1" x14ac:dyDescent="0.25">
      <c r="B42" s="7"/>
    </row>
    <row r="43" spans="1:15" hidden="1" x14ac:dyDescent="0.25">
      <c r="A43" t="s">
        <v>63</v>
      </c>
      <c r="B43" s="7" t="s">
        <v>65</v>
      </c>
      <c r="C43" t="s">
        <v>66</v>
      </c>
    </row>
    <row r="44" spans="1:15" hidden="1" x14ac:dyDescent="0.25">
      <c r="A44" t="s">
        <v>50</v>
      </c>
      <c r="B44" s="7">
        <f>B18*L9</f>
        <v>616.19999999999993</v>
      </c>
      <c r="C44" s="7">
        <f>B36*B18</f>
        <v>57.407756309148269</v>
      </c>
    </row>
    <row r="45" spans="1:15" hidden="1" x14ac:dyDescent="0.25">
      <c r="A45" t="s">
        <v>51</v>
      </c>
      <c r="B45" s="7">
        <f>L9*D18</f>
        <v>2300.48</v>
      </c>
      <c r="C45" s="7">
        <f>B37*D18</f>
        <v>25890.460555555557</v>
      </c>
      <c r="D45">
        <f>C45*1.6%</f>
        <v>414.2473688888889</v>
      </c>
      <c r="E45" t="s">
        <v>78</v>
      </c>
    </row>
    <row r="46" spans="1:15" hidden="1" x14ac:dyDescent="0.25">
      <c r="B46" s="7"/>
    </row>
    <row r="47" spans="1:15" hidden="1" x14ac:dyDescent="0.25">
      <c r="A47" t="s">
        <v>64</v>
      </c>
      <c r="B47" s="7" t="s">
        <v>77</v>
      </c>
      <c r="C47" t="s">
        <v>76</v>
      </c>
    </row>
    <row r="48" spans="1:15" hidden="1" x14ac:dyDescent="0.25">
      <c r="A48" t="s">
        <v>50</v>
      </c>
      <c r="B48" s="7"/>
    </row>
    <row r="49" spans="1:14" hidden="1" x14ac:dyDescent="0.25">
      <c r="A49" t="s">
        <v>51</v>
      </c>
      <c r="B49" s="7">
        <f>L9*D19</f>
        <v>410.8</v>
      </c>
      <c r="C49" s="7">
        <f>B37*D19</f>
        <v>4623.2965277777776</v>
      </c>
      <c r="D49">
        <f>C49*1.6%</f>
        <v>73.972744444444444</v>
      </c>
      <c r="E49" t="s">
        <v>78</v>
      </c>
    </row>
    <row r="50" spans="1:14" hidden="1" x14ac:dyDescent="0.25"/>
    <row r="51" spans="1:14" hidden="1" x14ac:dyDescent="0.25"/>
    <row r="52" spans="1:14" hidden="1" x14ac:dyDescent="0.25">
      <c r="A52" s="10" t="s">
        <v>47</v>
      </c>
    </row>
    <row r="53" spans="1:14" hidden="1" x14ac:dyDescent="0.25"/>
    <row r="54" spans="1:14" hidden="1" x14ac:dyDescent="0.25">
      <c r="A54" t="s">
        <v>48</v>
      </c>
      <c r="B54" s="7">
        <f t="shared" ref="B54:M54" si="5">B23*$M$6/100000</f>
        <v>8412.6281269543415</v>
      </c>
      <c r="C54" s="7">
        <f t="shared" si="5"/>
        <v>149.25523861198741</v>
      </c>
      <c r="D54" s="7">
        <f t="shared" si="5"/>
        <v>18030.261173544975</v>
      </c>
      <c r="E54" s="7">
        <f t="shared" si="5"/>
        <v>14958.086535790828</v>
      </c>
      <c r="F54" s="7">
        <f t="shared" si="5"/>
        <v>2848.1411647921759</v>
      </c>
      <c r="G54" s="7">
        <f t="shared" si="5"/>
        <v>2632.0091598212548</v>
      </c>
      <c r="H54" s="7">
        <f t="shared" si="5"/>
        <v>2103.4033613485853</v>
      </c>
      <c r="I54" s="7">
        <f t="shared" si="5"/>
        <v>1667.9782595121949</v>
      </c>
      <c r="J54" s="7">
        <f t="shared" si="5"/>
        <v>4879.9759175948748</v>
      </c>
      <c r="K54" s="7">
        <f t="shared" si="5"/>
        <v>5453.3158787878783</v>
      </c>
      <c r="L54" s="7">
        <f t="shared" si="5"/>
        <v>1602.0671063580739</v>
      </c>
      <c r="M54" s="7">
        <f t="shared" si="5"/>
        <v>858</v>
      </c>
      <c r="N54" s="7"/>
    </row>
    <row r="55" spans="1:14" hidden="1" x14ac:dyDescent="0.25">
      <c r="B55" s="7"/>
      <c r="C55" s="7"/>
      <c r="D55" s="7"/>
      <c r="E55" s="7"/>
      <c r="F55" s="7"/>
      <c r="G55" s="7"/>
      <c r="H55" s="7"/>
      <c r="I55" s="7"/>
      <c r="J55" s="7"/>
      <c r="K55" s="7"/>
      <c r="L55" s="7"/>
      <c r="M55" s="7"/>
      <c r="N55" s="7"/>
    </row>
    <row r="56" spans="1:14" hidden="1" x14ac:dyDescent="0.25">
      <c r="A56" t="s">
        <v>49</v>
      </c>
      <c r="B56" s="7">
        <f t="shared" ref="B56:M56" si="6">B25*$M$6/100000</f>
        <v>337.99959031808601</v>
      </c>
      <c r="C56" s="7">
        <f t="shared" si="6"/>
        <v>5.202545110410095</v>
      </c>
      <c r="D56" s="7">
        <f t="shared" si="6"/>
        <v>1819.1206693121696</v>
      </c>
      <c r="E56" s="7">
        <f t="shared" si="6"/>
        <v>107.76357239605657</v>
      </c>
      <c r="F56" s="7">
        <f t="shared" si="6"/>
        <v>39.606053007334964</v>
      </c>
      <c r="G56" s="7">
        <f t="shared" si="6"/>
        <v>37.311243365067028</v>
      </c>
      <c r="H56" s="7">
        <f t="shared" si="6"/>
        <v>102.1583715833835</v>
      </c>
      <c r="I56" s="7">
        <f t="shared" si="6"/>
        <v>6.5551128455284555</v>
      </c>
      <c r="J56" s="7">
        <f t="shared" si="6"/>
        <v>375.16045381961555</v>
      </c>
      <c r="K56" s="7">
        <f t="shared" si="6"/>
        <v>291.26659047619046</v>
      </c>
      <c r="L56" s="7">
        <f t="shared" si="6"/>
        <v>15.209497845171587</v>
      </c>
      <c r="M56" s="7">
        <f t="shared" si="6"/>
        <v>15</v>
      </c>
      <c r="N56" s="7"/>
    </row>
    <row r="57" spans="1:14" hidden="1" x14ac:dyDescent="0.25"/>
    <row r="58" spans="1:14" hidden="1" x14ac:dyDescent="0.25">
      <c r="A58" t="s">
        <v>48</v>
      </c>
    </row>
    <row r="59" spans="1:14" hidden="1" x14ac:dyDescent="0.25">
      <c r="A59" t="s">
        <v>50</v>
      </c>
      <c r="B59" s="7">
        <f>MIN($B$54:$M$54)</f>
        <v>149.25523861198741</v>
      </c>
    </row>
    <row r="60" spans="1:14" hidden="1" x14ac:dyDescent="0.25">
      <c r="A60" t="s">
        <v>51</v>
      </c>
      <c r="B60" s="7">
        <f>MAX($B$54:$M$54)</f>
        <v>18030.261173544975</v>
      </c>
    </row>
    <row r="61" spans="1:14" hidden="1" x14ac:dyDescent="0.25"/>
    <row r="62" spans="1:14" hidden="1" x14ac:dyDescent="0.25">
      <c r="A62" t="s">
        <v>49</v>
      </c>
    </row>
    <row r="63" spans="1:14" hidden="1" x14ac:dyDescent="0.25">
      <c r="A63" t="s">
        <v>50</v>
      </c>
      <c r="B63" s="7">
        <f>MIN($B$56:$M$56)</f>
        <v>5.202545110410095</v>
      </c>
    </row>
    <row r="64" spans="1:14" hidden="1" x14ac:dyDescent="0.25">
      <c r="A64" t="s">
        <v>51</v>
      </c>
      <c r="B64" s="7">
        <f>MAX($B$56:$M$56)</f>
        <v>1819.1206693121696</v>
      </c>
    </row>
    <row r="65" spans="1:14" hidden="1" x14ac:dyDescent="0.25">
      <c r="B65" s="7"/>
    </row>
    <row r="66" spans="1:14" hidden="1" x14ac:dyDescent="0.25">
      <c r="A66" t="s">
        <v>63</v>
      </c>
      <c r="B66" s="7" t="s">
        <v>77</v>
      </c>
      <c r="C66" t="s">
        <v>76</v>
      </c>
    </row>
    <row r="67" spans="1:14" hidden="1" x14ac:dyDescent="0.25">
      <c r="A67" t="s">
        <v>50</v>
      </c>
      <c r="B67" s="7">
        <f>B18*M9</f>
        <v>128.69999999999999</v>
      </c>
    </row>
    <row r="68" spans="1:14" hidden="1" x14ac:dyDescent="0.25">
      <c r="A68" t="s">
        <v>51</v>
      </c>
      <c r="B68" s="7">
        <f>D18*M9</f>
        <v>480.48</v>
      </c>
      <c r="C68" s="7">
        <f>B60*D18</f>
        <v>10096.946257185187</v>
      </c>
    </row>
    <row r="69" spans="1:14" hidden="1" x14ac:dyDescent="0.25">
      <c r="B69" s="7"/>
    </row>
    <row r="70" spans="1:14" hidden="1" x14ac:dyDescent="0.25">
      <c r="A70" t="s">
        <v>64</v>
      </c>
      <c r="B70" s="7" t="s">
        <v>77</v>
      </c>
      <c r="C70" t="s">
        <v>76</v>
      </c>
    </row>
    <row r="71" spans="1:14" hidden="1" x14ac:dyDescent="0.25">
      <c r="A71" t="s">
        <v>50</v>
      </c>
      <c r="B71" s="7">
        <f>B19*M9</f>
        <v>42.900000000000006</v>
      </c>
    </row>
    <row r="72" spans="1:14" hidden="1" x14ac:dyDescent="0.25">
      <c r="A72" t="s">
        <v>51</v>
      </c>
      <c r="B72">
        <f>D19*M9</f>
        <v>85.800000000000011</v>
      </c>
      <c r="C72" s="7">
        <f>B60*D19</f>
        <v>1803.0261173544977</v>
      </c>
    </row>
    <row r="74" spans="1:14" x14ac:dyDescent="0.25">
      <c r="A74" s="10" t="s">
        <v>52</v>
      </c>
    </row>
    <row r="76" spans="1:14" x14ac:dyDescent="0.25">
      <c r="A76" s="48" t="s">
        <v>48</v>
      </c>
      <c r="B76" s="43">
        <f t="shared" ref="B76:M76" si="7">B23*$O$6/100000</f>
        <v>317.18303868774638</v>
      </c>
      <c r="C76" s="43">
        <f t="shared" si="7"/>
        <v>5.627400784700316</v>
      </c>
      <c r="D76" s="43">
        <f t="shared" si="7"/>
        <v>679.79862428902118</v>
      </c>
      <c r="E76" s="43">
        <f t="shared" si="7"/>
        <v>563.96779564937844</v>
      </c>
      <c r="F76" s="43">
        <f t="shared" si="7"/>
        <v>107.38404879278728</v>
      </c>
      <c r="G76" s="43">
        <f t="shared" si="7"/>
        <v>99.235179609481222</v>
      </c>
      <c r="H76" s="43">
        <f t="shared" si="7"/>
        <v>79.305047087597842</v>
      </c>
      <c r="I76" s="43">
        <f t="shared" si="7"/>
        <v>62.888125426829262</v>
      </c>
      <c r="J76" s="43">
        <f t="shared" si="7"/>
        <v>183.99072999630363</v>
      </c>
      <c r="K76" s="43">
        <f t="shared" si="7"/>
        <v>205.60748380355275</v>
      </c>
      <c r="L76" s="43">
        <f t="shared" si="7"/>
        <v>60.40306374035648</v>
      </c>
      <c r="M76" s="43">
        <f t="shared" si="7"/>
        <v>32.349349464542591</v>
      </c>
      <c r="N76" s="7"/>
    </row>
    <row r="77" spans="1:14" x14ac:dyDescent="0.25">
      <c r="A77" s="48"/>
      <c r="B77" s="43"/>
      <c r="C77" s="43"/>
      <c r="D77" s="43"/>
      <c r="E77" s="43"/>
      <c r="F77" s="43"/>
      <c r="G77" s="43"/>
      <c r="H77" s="43"/>
      <c r="I77" s="43"/>
      <c r="J77" s="43"/>
      <c r="K77" s="43"/>
      <c r="L77" s="43"/>
      <c r="M77" s="43"/>
      <c r="N77" s="7"/>
    </row>
    <row r="78" spans="1:14" x14ac:dyDescent="0.25">
      <c r="A78" s="48" t="s">
        <v>49</v>
      </c>
      <c r="B78" s="43">
        <f t="shared" ref="B78:M78" si="8">B25*$O$6/100000</f>
        <v>12.743667676074582</v>
      </c>
      <c r="C78" s="43">
        <f t="shared" si="8"/>
        <v>0.19615262223974766</v>
      </c>
      <c r="D78" s="43">
        <f t="shared" si="8"/>
        <v>68.586678612764558</v>
      </c>
      <c r="E78" s="43">
        <f t="shared" si="8"/>
        <v>4.0630320081440203</v>
      </c>
      <c r="F78" s="43">
        <f t="shared" si="8"/>
        <v>1.4932751161369193</v>
      </c>
      <c r="G78" s="43">
        <f t="shared" si="8"/>
        <v>1.4067534388964447</v>
      </c>
      <c r="H78" s="43">
        <f t="shared" si="8"/>
        <v>3.8516979756170975</v>
      </c>
      <c r="I78" s="43">
        <f t="shared" si="8"/>
        <v>0.24714876016260162</v>
      </c>
      <c r="J78" s="43">
        <f t="shared" si="8"/>
        <v>14.14475131222277</v>
      </c>
      <c r="K78" s="43">
        <f t="shared" si="8"/>
        <v>10.98168382594417</v>
      </c>
      <c r="L78" s="43">
        <f t="shared" si="8"/>
        <v>0.57344680766161216</v>
      </c>
      <c r="M78" s="43">
        <f t="shared" si="8"/>
        <v>0.56554806756193343</v>
      </c>
      <c r="N78" s="7"/>
    </row>
    <row r="80" spans="1:14" x14ac:dyDescent="0.25">
      <c r="A80" s="65" t="s">
        <v>48</v>
      </c>
      <c r="B80" s="65" t="s">
        <v>72</v>
      </c>
      <c r="C80" s="65" t="s">
        <v>73</v>
      </c>
    </row>
    <row r="81" spans="1:3" x14ac:dyDescent="0.25">
      <c r="A81" s="65" t="s">
        <v>50</v>
      </c>
      <c r="B81" s="66">
        <f>MIN($B$76:$M$76)</f>
        <v>5.627400784700316</v>
      </c>
      <c r="C81" s="66">
        <f>MIN($C$76:$M$76)</f>
        <v>5.627400784700316</v>
      </c>
    </row>
    <row r="82" spans="1:3" x14ac:dyDescent="0.25">
      <c r="A82" s="65" t="s">
        <v>51</v>
      </c>
      <c r="B82" s="66">
        <f>MAX($B$76:$M$76)</f>
        <v>679.79862428902118</v>
      </c>
      <c r="C82" s="66">
        <f>MAX($C$76:$M$76)</f>
        <v>679.79862428902118</v>
      </c>
    </row>
    <row r="83" spans="1:3" x14ac:dyDescent="0.25">
      <c r="A83" s="65"/>
      <c r="B83" s="65"/>
      <c r="C83" s="65"/>
    </row>
    <row r="84" spans="1:3" x14ac:dyDescent="0.25">
      <c r="A84" s="65" t="s">
        <v>49</v>
      </c>
      <c r="B84" s="65"/>
      <c r="C84" s="65"/>
    </row>
    <row r="85" spans="1:3" x14ac:dyDescent="0.25">
      <c r="A85" s="65" t="s">
        <v>50</v>
      </c>
      <c r="B85" s="66">
        <f>MIN($B$78:$M$78)</f>
        <v>0.19615262223974766</v>
      </c>
      <c r="C85" s="66">
        <f>MIN($C$78:$M$78)</f>
        <v>0.19615262223974766</v>
      </c>
    </row>
    <row r="86" spans="1:3" x14ac:dyDescent="0.25">
      <c r="A86" s="65" t="s">
        <v>51</v>
      </c>
      <c r="B86" s="66">
        <f>MAX($B$78:$M$78)</f>
        <v>68.586678612764558</v>
      </c>
      <c r="C86" s="66">
        <f>MAX($C$78:$M$78)</f>
        <v>68.586678612764558</v>
      </c>
    </row>
    <row r="87" spans="1:3" x14ac:dyDescent="0.25">
      <c r="A87" s="65"/>
      <c r="B87" s="65"/>
      <c r="C87" s="65"/>
    </row>
    <row r="88" spans="1:3" x14ac:dyDescent="0.25">
      <c r="A88" s="65" t="s">
        <v>27</v>
      </c>
      <c r="B88" s="65"/>
      <c r="C88" s="65"/>
    </row>
    <row r="89" spans="1:3" x14ac:dyDescent="0.25">
      <c r="A89" s="65" t="s">
        <v>50</v>
      </c>
      <c r="B89" s="66">
        <f>B81*$D$18</f>
        <v>3.1513444394321772</v>
      </c>
      <c r="C89" s="66">
        <f>C81*$D$18</f>
        <v>3.1513444394321772</v>
      </c>
    </row>
    <row r="90" spans="1:3" x14ac:dyDescent="0.25">
      <c r="A90" s="65" t="s">
        <v>51</v>
      </c>
      <c r="B90" s="66">
        <f>B82*$D$18</f>
        <v>380.68722960185187</v>
      </c>
      <c r="C90" s="66">
        <f>C82*$D$18</f>
        <v>380.68722960185187</v>
      </c>
    </row>
    <row r="91" spans="1:3" x14ac:dyDescent="0.25">
      <c r="A91" s="65"/>
      <c r="B91" s="66"/>
      <c r="C91" s="65"/>
    </row>
    <row r="92" spans="1:3" x14ac:dyDescent="0.25">
      <c r="A92" s="65" t="s">
        <v>62</v>
      </c>
      <c r="B92" s="66"/>
      <c r="C92" s="65"/>
    </row>
    <row r="93" spans="1:3" x14ac:dyDescent="0.25">
      <c r="A93" s="65" t="s">
        <v>50</v>
      </c>
      <c r="B93" s="66">
        <f>B81*$D$19</f>
        <v>0.5627400784700316</v>
      </c>
      <c r="C93" s="66">
        <f>C81*$D$19</f>
        <v>0.5627400784700316</v>
      </c>
    </row>
    <row r="94" spans="1:3" x14ac:dyDescent="0.25">
      <c r="A94" s="65" t="s">
        <v>51</v>
      </c>
      <c r="B94" s="66">
        <f>B82*$D$19</f>
        <v>67.979862428902123</v>
      </c>
      <c r="C94" s="66">
        <f>C82*$D$19</f>
        <v>67.979862428902123</v>
      </c>
    </row>
  </sheetData>
  <hyperlinks>
    <hyperlink ref="D17" r:id="rId1" xr:uid="{DBC260A3-1E68-4128-A153-99C782C794F3}"/>
    <hyperlink ref="B17" r:id="rId2" xr:uid="{0DB5CC6A-5D9C-44E9-8A3B-52991808640F}"/>
    <hyperlink ref="B1" r:id="rId3" xr:uid="{78D8C0ED-716B-4B8C-A4FF-48403EC4805C}"/>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F2A4-B2F4-43EC-97C7-482AAA2BAD3A}">
  <sheetPr codeName="Sheet6"/>
  <dimension ref="B2:D39"/>
  <sheetViews>
    <sheetView workbookViewId="0">
      <selection activeCell="D40" sqref="D40"/>
    </sheetView>
  </sheetViews>
  <sheetFormatPr defaultColWidth="9" defaultRowHeight="15" x14ac:dyDescent="0.25"/>
  <cols>
    <col min="1" max="1" width="9" style="7"/>
    <col min="2" max="2" width="18.140625" style="7" customWidth="1"/>
    <col min="3" max="3" width="13.85546875" style="7" customWidth="1"/>
    <col min="4" max="4" width="21.5703125" style="7" customWidth="1"/>
    <col min="5" max="16384" width="9" style="7"/>
  </cols>
  <sheetData>
    <row r="2" spans="2:4" x14ac:dyDescent="0.25">
      <c r="B2" s="7" t="s">
        <v>91</v>
      </c>
      <c r="C2" s="26">
        <v>43906</v>
      </c>
    </row>
    <row r="3" spans="2:4" ht="15.75" thickBot="1" x14ac:dyDescent="0.3"/>
    <row r="4" spans="2:4" x14ac:dyDescent="0.25">
      <c r="B4" s="13" t="str">
        <f>'Comparative Cases March 13'!A52</f>
        <v>Extrapolated Cases and Deaths for Ontario</v>
      </c>
      <c r="C4" s="14"/>
      <c r="D4" s="15"/>
    </row>
    <row r="5" spans="2:4" x14ac:dyDescent="0.25">
      <c r="B5" s="16"/>
      <c r="C5" s="17"/>
      <c r="D5" s="18"/>
    </row>
    <row r="6" spans="2:4" x14ac:dyDescent="0.25">
      <c r="B6" s="16"/>
      <c r="C6" s="17"/>
      <c r="D6" s="18"/>
    </row>
    <row r="7" spans="2:4" x14ac:dyDescent="0.25">
      <c r="B7" s="19" t="str">
        <f>'Comparative Cases March 13'!A58</f>
        <v>Cases</v>
      </c>
      <c r="C7" s="17"/>
      <c r="D7" s="18"/>
    </row>
    <row r="8" spans="2:4" x14ac:dyDescent="0.25">
      <c r="B8" s="16" t="str">
        <f>'Comparative Cases March 13'!A59</f>
        <v>Low end</v>
      </c>
      <c r="C8" s="17">
        <f>'Comparative Cases (march 16)'!B36</f>
        <v>192.77512224938874</v>
      </c>
      <c r="D8" s="18">
        <f>'Comparative Cases (march 16)'!C36</f>
        <v>0</v>
      </c>
    </row>
    <row r="9" spans="2:4" x14ac:dyDescent="0.25">
      <c r="B9" s="16" t="str">
        <f>'Comparative Cases March 13'!A60</f>
        <v>High end</v>
      </c>
      <c r="C9" s="17">
        <f>'Comparative Cases (march 16)'!B37</f>
        <v>21338.891004950186</v>
      </c>
      <c r="D9" s="18">
        <f>'Comparative Cases (march 16)'!C37</f>
        <v>341.42225607920301</v>
      </c>
    </row>
    <row r="10" spans="2:4" x14ac:dyDescent="0.25">
      <c r="B10" s="16"/>
      <c r="C10" s="17"/>
      <c r="D10" s="18"/>
    </row>
    <row r="11" spans="2:4" x14ac:dyDescent="0.25">
      <c r="B11" s="19" t="str">
        <f>'Comparative Cases March 13'!A62</f>
        <v>Deaths</v>
      </c>
      <c r="C11" s="17"/>
      <c r="D11" s="18"/>
    </row>
    <row r="12" spans="2:4" x14ac:dyDescent="0.25">
      <c r="B12" s="16" t="str">
        <f>'Comparative Cases March 13'!A63</f>
        <v>Low end</v>
      </c>
      <c r="C12" s="17">
        <f>'Comparative Cases (march 16)'!B40</f>
        <v>0</v>
      </c>
      <c r="D12" s="18">
        <f>'Comparative Cases (march 16)'!C40</f>
        <v>0</v>
      </c>
    </row>
    <row r="13" spans="2:4" x14ac:dyDescent="0.25">
      <c r="B13" s="16" t="str">
        <f>'Comparative Cases March 13'!A64</f>
        <v>High end</v>
      </c>
      <c r="C13" s="17">
        <f>'Comparative Cases (march 16)'!B41</f>
        <v>1124.34375</v>
      </c>
      <c r="D13" s="18">
        <f>'Comparative Cases (march 16)'!C41</f>
        <v>17.9895</v>
      </c>
    </row>
    <row r="14" spans="2:4" x14ac:dyDescent="0.25">
      <c r="B14" s="16"/>
      <c r="C14" s="17">
        <f>'Comparative Cases (march 16)'!B42</f>
        <v>0</v>
      </c>
      <c r="D14" s="18">
        <f>'Comparative Cases (march 16)'!C42</f>
        <v>0</v>
      </c>
    </row>
    <row r="15" spans="2:4" x14ac:dyDescent="0.25">
      <c r="B15" s="19" t="str">
        <f>'Comparative Cases March 13'!A66</f>
        <v># Hospitalized</v>
      </c>
      <c r="C15" s="17" t="str">
        <f>'Comparative Cases (march 16)'!B43</f>
        <v>From current #</v>
      </c>
      <c r="D15" s="18" t="str">
        <f>'Comparative Cases (march 16)'!C43</f>
        <v>From projected Cases</v>
      </c>
    </row>
    <row r="16" spans="2:4" x14ac:dyDescent="0.25">
      <c r="B16" s="16" t="str">
        <f>'Comparative Cases March 13'!A67</f>
        <v>Low end</v>
      </c>
      <c r="C16" s="17">
        <f>'Comparative Cases (march 16)'!B44</f>
        <v>63.599999999999994</v>
      </c>
      <c r="D16" s="18">
        <f>'Comparative Cases (march 16)'!C44</f>
        <v>28.916268337408312</v>
      </c>
    </row>
    <row r="17" spans="2:4" x14ac:dyDescent="0.25">
      <c r="B17" s="16" t="str">
        <f>'Comparative Cases March 13'!A68</f>
        <v>High end</v>
      </c>
      <c r="C17" s="17">
        <f>'Comparative Cases (march 16)'!B45</f>
        <v>237.44000000000003</v>
      </c>
      <c r="D17" s="18">
        <f>'Comparative Cases (march 16)'!C45</f>
        <v>11949.778962772105</v>
      </c>
    </row>
    <row r="18" spans="2:4" x14ac:dyDescent="0.25">
      <c r="B18" s="16"/>
      <c r="C18" s="17"/>
      <c r="D18" s="18"/>
    </row>
    <row r="19" spans="2:4" x14ac:dyDescent="0.25">
      <c r="B19" s="19" t="str">
        <f>'Comparative Cases March 13'!A70</f>
        <v># in ICU</v>
      </c>
      <c r="C19" s="17" t="str">
        <f>'Comparative Cases (march 16)'!B47</f>
        <v>Estimated Current</v>
      </c>
      <c r="D19" s="18" t="str">
        <f>'Comparative Cases (march 16)'!C47</f>
        <v>Projected Next 2 Months</v>
      </c>
    </row>
    <row r="20" spans="2:4" x14ac:dyDescent="0.25">
      <c r="B20" s="16" t="str">
        <f>'Comparative Cases March 13'!A71</f>
        <v>Low end</v>
      </c>
      <c r="C20" s="17">
        <f>'Comparative Cases (march 16)'!B48</f>
        <v>0</v>
      </c>
      <c r="D20" s="18">
        <f>'Comparative Cases (march 16)'!C48</f>
        <v>0</v>
      </c>
    </row>
    <row r="21" spans="2:4" ht="15.75" thickBot="1" x14ac:dyDescent="0.3">
      <c r="B21" s="20" t="str">
        <f>'Comparative Cases March 13'!A72</f>
        <v>High end</v>
      </c>
      <c r="C21" s="21">
        <f>'Comparative Cases (march 16)'!B49</f>
        <v>42.400000000000006</v>
      </c>
      <c r="D21" s="22">
        <f>'Comparative Cases (march 16)'!C49</f>
        <v>2133.8891004950187</v>
      </c>
    </row>
    <row r="22" spans="2:4" ht="15.75" thickBot="1" x14ac:dyDescent="0.3"/>
    <row r="23" spans="2:4" x14ac:dyDescent="0.25">
      <c r="B23" s="13" t="str">
        <f>'Comparative Cases March 13'!A74</f>
        <v>Extrapolated Cases and Deaths for Kitchner Area</v>
      </c>
      <c r="C23" s="14"/>
      <c r="D23" s="15"/>
    </row>
    <row r="24" spans="2:4" x14ac:dyDescent="0.25">
      <c r="B24" s="16" t="s">
        <v>69</v>
      </c>
      <c r="C24" s="17"/>
      <c r="D24" s="18"/>
    </row>
    <row r="25" spans="2:4" x14ac:dyDescent="0.25">
      <c r="B25" s="16" t="str">
        <f>'Comparative Cases March 13'!A80</f>
        <v>Cases</v>
      </c>
      <c r="C25" s="17" t="str">
        <f>'Comparative Cases March 13'!B80</f>
        <v>Next 100 Days</v>
      </c>
      <c r="D25" s="18" t="str">
        <f>'Comparative Cases March 13'!C80</f>
        <v>Next 30-40 days</v>
      </c>
    </row>
    <row r="26" spans="2:4" x14ac:dyDescent="0.25">
      <c r="B26" s="16" t="str">
        <f>'Comparative Cases March 13'!A81</f>
        <v>Low end</v>
      </c>
      <c r="C26" s="17">
        <f>'Comparative Cases (march 16)'!B81</f>
        <v>2.8345199602689481</v>
      </c>
      <c r="D26" s="18">
        <f>'Comparative Cases (march 16)'!C81</f>
        <v>2.8345199602689481</v>
      </c>
    </row>
    <row r="27" spans="2:4" x14ac:dyDescent="0.25">
      <c r="B27" s="16" t="str">
        <f>'Comparative Cases March 13'!A82</f>
        <v>High end</v>
      </c>
      <c r="C27" s="17">
        <f>'Comparative Cases (march 16)'!B82</f>
        <v>313.76202373917369</v>
      </c>
      <c r="D27" s="18">
        <f>'Comparative Cases (march 16)'!C82</f>
        <v>226.15783286210322</v>
      </c>
    </row>
    <row r="28" spans="2:4" x14ac:dyDescent="0.25">
      <c r="B28" s="16"/>
      <c r="C28" s="17"/>
      <c r="D28" s="18"/>
    </row>
    <row r="29" spans="2:4" x14ac:dyDescent="0.25">
      <c r="B29" s="16" t="str">
        <f>'Comparative Cases March 13'!A84</f>
        <v>Deaths</v>
      </c>
      <c r="C29" s="17"/>
      <c r="D29" s="18"/>
    </row>
    <row r="30" spans="2:4" x14ac:dyDescent="0.25">
      <c r="B30" s="16" t="str">
        <f>'Comparative Cases March 13'!A85</f>
        <v>Low end</v>
      </c>
      <c r="C30" s="17">
        <f>'Comparative Cases (march 16)'!B85</f>
        <v>0</v>
      </c>
      <c r="D30" s="18">
        <f>'Comparative Cases (march 16)'!C85</f>
        <v>0</v>
      </c>
    </row>
    <row r="31" spans="2:4" x14ac:dyDescent="0.25">
      <c r="B31" s="16" t="str">
        <f>'Comparative Cases March 13'!A86</f>
        <v>High end</v>
      </c>
      <c r="C31" s="17">
        <f>'Comparative Cases (march 16)'!B86</f>
        <v>16.532085491071427</v>
      </c>
      <c r="D31" s="18">
        <f>'Comparative Cases (march 16)'!C86</f>
        <v>16.532085491071427</v>
      </c>
    </row>
    <row r="32" spans="2:4" x14ac:dyDescent="0.25">
      <c r="B32" s="16"/>
      <c r="C32" s="17"/>
      <c r="D32" s="18"/>
    </row>
    <row r="33" spans="2:4" x14ac:dyDescent="0.25">
      <c r="B33" s="16" t="str">
        <f>'Comparative Cases March 13'!A88</f>
        <v>Hospitalized</v>
      </c>
      <c r="C33" s="17"/>
      <c r="D33" s="18"/>
    </row>
    <row r="34" spans="2:4" x14ac:dyDescent="0.25">
      <c r="B34" s="16" t="str">
        <f>'Comparative Cases March 13'!A89</f>
        <v>Low end</v>
      </c>
      <c r="C34" s="17">
        <f>'Comparative Cases (march 16)'!B89</f>
        <v>0</v>
      </c>
      <c r="D34" s="18">
        <f>'Comparative Cases (march 16)'!C89</f>
        <v>0</v>
      </c>
    </row>
    <row r="35" spans="2:4" x14ac:dyDescent="0.25">
      <c r="B35" s="16" t="str">
        <f>'Comparative Cases March 13'!A90</f>
        <v>High end</v>
      </c>
      <c r="C35" s="17">
        <f>'Comparative Cases (march 16)'!B90</f>
        <v>175.70673329393728</v>
      </c>
      <c r="D35" s="18">
        <f>'Comparative Cases (march 16)'!C90</f>
        <v>126.64838640277782</v>
      </c>
    </row>
    <row r="36" spans="2:4" x14ac:dyDescent="0.25">
      <c r="B36" s="16"/>
      <c r="C36" s="17"/>
      <c r="D36" s="18"/>
    </row>
    <row r="37" spans="2:4" x14ac:dyDescent="0.25">
      <c r="B37" s="16" t="str">
        <f>'Comparative Cases March 13'!A92</f>
        <v>ICU</v>
      </c>
      <c r="C37" s="17"/>
      <c r="D37" s="18"/>
    </row>
    <row r="38" spans="2:4" x14ac:dyDescent="0.25">
      <c r="B38" s="16" t="str">
        <f>'Comparative Cases March 13'!A93</f>
        <v>Low end</v>
      </c>
      <c r="C38" s="17">
        <f>'Comparative Cases (march 16)'!B93</f>
        <v>0</v>
      </c>
      <c r="D38" s="18">
        <f>'Comparative Cases (march 16)'!C93</f>
        <v>0</v>
      </c>
    </row>
    <row r="39" spans="2:4" ht="15.75" thickBot="1" x14ac:dyDescent="0.3">
      <c r="B39" s="20" t="str">
        <f>'Comparative Cases March 13'!A94</f>
        <v>High end</v>
      </c>
      <c r="C39" s="21">
        <f>'Comparative Cases (march 16)'!B94</f>
        <v>31.376202373917369</v>
      </c>
      <c r="D39" s="22">
        <f>'Comparative Cases (march 16)'!C94</f>
        <v>22.615783286210323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0ABBC-CB63-4DE9-BD29-84D422A762B7}">
  <sheetPr codeName="Sheet7"/>
  <dimension ref="A1:O26"/>
  <sheetViews>
    <sheetView workbookViewId="0">
      <selection sqref="A1:XFD1"/>
    </sheetView>
  </sheetViews>
  <sheetFormatPr defaultRowHeight="15" x14ac:dyDescent="0.25"/>
  <cols>
    <col min="4" max="4" width="15.42578125" customWidth="1"/>
    <col min="10" max="10" width="17.5703125" bestFit="1" customWidth="1"/>
    <col min="11" max="11" width="10" bestFit="1" customWidth="1"/>
  </cols>
  <sheetData>
    <row r="1" spans="1:15" x14ac:dyDescent="0.25">
      <c r="A1" t="s">
        <v>0</v>
      </c>
      <c r="D1" t="s">
        <v>18</v>
      </c>
      <c r="J1" t="s">
        <v>19</v>
      </c>
    </row>
    <row r="2" spans="1:15" x14ac:dyDescent="0.25">
      <c r="A2" t="s">
        <v>5</v>
      </c>
      <c r="B2" t="s">
        <v>6</v>
      </c>
      <c r="C2" t="s">
        <v>7</v>
      </c>
      <c r="D2" t="s">
        <v>8</v>
      </c>
      <c r="E2" t="s">
        <v>9</v>
      </c>
      <c r="F2" t="s">
        <v>10</v>
      </c>
      <c r="G2" t="s">
        <v>11</v>
      </c>
      <c r="H2" t="s">
        <v>12</v>
      </c>
      <c r="I2" t="s">
        <v>13</v>
      </c>
      <c r="J2" t="s">
        <v>8</v>
      </c>
      <c r="K2" t="s">
        <v>9</v>
      </c>
      <c r="L2" t="s">
        <v>10</v>
      </c>
      <c r="M2" t="s">
        <v>11</v>
      </c>
      <c r="N2" t="s">
        <v>12</v>
      </c>
      <c r="O2" t="s">
        <v>13</v>
      </c>
    </row>
    <row r="3" spans="1:15" x14ac:dyDescent="0.25">
      <c r="A3" t="s">
        <v>1</v>
      </c>
      <c r="B3" t="s">
        <v>2</v>
      </c>
      <c r="D3">
        <v>92390</v>
      </c>
      <c r="F3">
        <v>47215</v>
      </c>
      <c r="H3">
        <v>45180</v>
      </c>
      <c r="J3">
        <v>2207970</v>
      </c>
      <c r="L3">
        <v>1131615</v>
      </c>
      <c r="N3">
        <v>1076350</v>
      </c>
    </row>
    <row r="4" spans="1:15" x14ac:dyDescent="0.25">
      <c r="A4" t="s">
        <v>1</v>
      </c>
      <c r="B4" t="s">
        <v>3</v>
      </c>
      <c r="D4">
        <v>355650</v>
      </c>
      <c r="F4">
        <v>177120</v>
      </c>
      <c r="H4">
        <v>178525</v>
      </c>
      <c r="J4">
        <v>8988865</v>
      </c>
      <c r="L4">
        <v>4412115</v>
      </c>
      <c r="N4">
        <v>4576750</v>
      </c>
    </row>
    <row r="5" spans="1:15" x14ac:dyDescent="0.25">
      <c r="A5" t="s">
        <v>1</v>
      </c>
      <c r="B5" t="s">
        <v>14</v>
      </c>
      <c r="D5">
        <v>65730</v>
      </c>
      <c r="F5">
        <v>30565</v>
      </c>
      <c r="H5">
        <v>35160</v>
      </c>
      <c r="J5">
        <v>1950585</v>
      </c>
      <c r="L5">
        <v>909565</v>
      </c>
      <c r="N5">
        <v>1041010</v>
      </c>
    </row>
    <row r="6" spans="1:15" x14ac:dyDescent="0.25">
      <c r="A6" t="s">
        <v>1</v>
      </c>
      <c r="B6" t="s">
        <v>4</v>
      </c>
      <c r="D6">
        <v>10130</v>
      </c>
      <c r="F6">
        <v>3675</v>
      </c>
      <c r="H6">
        <v>6450</v>
      </c>
      <c r="J6">
        <v>301075</v>
      </c>
      <c r="L6">
        <v>106090</v>
      </c>
      <c r="N6">
        <v>194985</v>
      </c>
    </row>
    <row r="8" spans="1:15" x14ac:dyDescent="0.25">
      <c r="A8" t="s">
        <v>15</v>
      </c>
    </row>
    <row r="9" spans="1:15" x14ac:dyDescent="0.25">
      <c r="B9" t="s">
        <v>16</v>
      </c>
      <c r="C9" s="1">
        <v>5.5E-2</v>
      </c>
    </row>
    <row r="10" spans="1:15" x14ac:dyDescent="0.25">
      <c r="B10" t="s">
        <v>17</v>
      </c>
      <c r="C10" s="1">
        <v>4.5999999999999999E-2</v>
      </c>
    </row>
    <row r="11" spans="1:15" x14ac:dyDescent="0.25">
      <c r="C11" s="1"/>
    </row>
    <row r="12" spans="1:15" x14ac:dyDescent="0.25">
      <c r="C12" s="1"/>
    </row>
    <row r="13" spans="1:15" x14ac:dyDescent="0.25">
      <c r="A13" t="s">
        <v>20</v>
      </c>
      <c r="C13" s="1"/>
    </row>
    <row r="14" spans="1:15" s="2" customFormat="1" x14ac:dyDescent="0.25">
      <c r="A14" t="s">
        <v>5</v>
      </c>
      <c r="B14" t="s">
        <v>6</v>
      </c>
    </row>
    <row r="15" spans="1:15" x14ac:dyDescent="0.25">
      <c r="A15" t="s">
        <v>1</v>
      </c>
      <c r="B15" t="s">
        <v>2</v>
      </c>
      <c r="D15" s="2">
        <f>D3*(1+$C$9)</f>
        <v>97471.45</v>
      </c>
      <c r="E15" s="2"/>
      <c r="F15" s="2">
        <f>F3*(1+$C$9)</f>
        <v>49811.824999999997</v>
      </c>
      <c r="G15" s="2"/>
      <c r="H15" s="2">
        <f>H3*(1+$C$9)</f>
        <v>47664.899999999994</v>
      </c>
      <c r="J15">
        <f>J3*(1+$C$10)</f>
        <v>2309536.62</v>
      </c>
      <c r="L15">
        <f t="shared" ref="L15:N15" si="0">L3*(1+$C$10)</f>
        <v>1183669.29</v>
      </c>
      <c r="N15">
        <f t="shared" si="0"/>
        <v>1125862.1000000001</v>
      </c>
    </row>
    <row r="16" spans="1:15" x14ac:dyDescent="0.25">
      <c r="A16" t="s">
        <v>1</v>
      </c>
      <c r="B16" t="s">
        <v>3</v>
      </c>
      <c r="D16">
        <f>D4*(1+$C$9)</f>
        <v>375210.75</v>
      </c>
      <c r="F16">
        <f>F4*(1+$C$9)</f>
        <v>186861.59999999998</v>
      </c>
      <c r="H16">
        <f>H4*(1+$C$9)</f>
        <v>188343.875</v>
      </c>
      <c r="J16">
        <f t="shared" ref="J16:N16" si="1">J4*(1+$C$10)</f>
        <v>9402352.790000001</v>
      </c>
      <c r="L16">
        <f t="shared" si="1"/>
        <v>4615072.29</v>
      </c>
      <c r="N16">
        <f t="shared" si="1"/>
        <v>4787280.5</v>
      </c>
    </row>
    <row r="17" spans="1:14" x14ac:dyDescent="0.25">
      <c r="A17" t="s">
        <v>1</v>
      </c>
      <c r="B17" t="s">
        <v>14</v>
      </c>
      <c r="D17">
        <f>D5*(1+$C$9)</f>
        <v>69345.149999999994</v>
      </c>
      <c r="F17">
        <f>F5*(1+$C$9)</f>
        <v>32246.074999999997</v>
      </c>
      <c r="H17">
        <f>H5*(1+$C$9)</f>
        <v>37093.799999999996</v>
      </c>
      <c r="J17">
        <f t="shared" ref="J17:N17" si="2">J5*(1+$C$10)</f>
        <v>2040311.9100000001</v>
      </c>
      <c r="L17">
        <f t="shared" si="2"/>
        <v>951404.99</v>
      </c>
      <c r="N17">
        <f t="shared" si="2"/>
        <v>1088896.46</v>
      </c>
    </row>
    <row r="18" spans="1:14" x14ac:dyDescent="0.25">
      <c r="A18" t="s">
        <v>1</v>
      </c>
      <c r="B18" t="s">
        <v>4</v>
      </c>
      <c r="D18">
        <f>D6*(1+$C$9)</f>
        <v>10687.15</v>
      </c>
      <c r="F18">
        <f>F6*(1+$C$9)</f>
        <v>3877.1249999999995</v>
      </c>
      <c r="H18">
        <f>H6*(1+$C$9)</f>
        <v>6804.75</v>
      </c>
      <c r="J18">
        <f t="shared" ref="J18:N18" si="3">J6*(1+$C$10)</f>
        <v>314924.45</v>
      </c>
      <c r="L18">
        <f t="shared" si="3"/>
        <v>110970.14</v>
      </c>
      <c r="N18">
        <f t="shared" si="3"/>
        <v>203954.31</v>
      </c>
    </row>
    <row r="19" spans="1:14" x14ac:dyDescent="0.25">
      <c r="D19" s="7">
        <f>SUM(D15:D18)</f>
        <v>552714.5</v>
      </c>
      <c r="J19" s="7">
        <f>SUM(J15:J18)</f>
        <v>14067125.77</v>
      </c>
    </row>
    <row r="21" spans="1:14" x14ac:dyDescent="0.25">
      <c r="D21" t="s">
        <v>16</v>
      </c>
      <c r="E21" t="s">
        <v>17</v>
      </c>
    </row>
    <row r="22" spans="1:14" x14ac:dyDescent="0.25">
      <c r="C22" t="s">
        <v>57</v>
      </c>
      <c r="D22" s="4">
        <f>(D17+D18)/D19</f>
        <v>0.14479862569192592</v>
      </c>
      <c r="E22" s="4">
        <f>(J17+J18)/J19</f>
        <v>0.16742839998081574</v>
      </c>
    </row>
    <row r="23" spans="1:14" x14ac:dyDescent="0.25">
      <c r="K23" s="9">
        <v>14659616</v>
      </c>
      <c r="L23" t="s">
        <v>37</v>
      </c>
    </row>
    <row r="26" spans="1:14" x14ac:dyDescent="0.25">
      <c r="B26" t="s">
        <v>54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E9E13-6FEF-4E7B-8474-C345B2BD81A3}">
  <dimension ref="A1:P95"/>
  <sheetViews>
    <sheetView zoomScale="131" workbookViewId="0">
      <selection activeCell="B1" sqref="B1:B1048576"/>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1" width="12.140625" customWidth="1"/>
    <col min="12" max="13" width="13.5703125" bestFit="1" customWidth="1"/>
    <col min="14" max="14" width="12.140625" customWidth="1"/>
    <col min="15" max="15" width="16.140625" bestFit="1" customWidth="1"/>
  </cols>
  <sheetData>
    <row r="1" spans="1:16" x14ac:dyDescent="0.25">
      <c r="A1" s="26">
        <v>43918</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132</v>
      </c>
      <c r="C4" s="54">
        <v>72</v>
      </c>
      <c r="D4" s="54">
        <v>57</v>
      </c>
      <c r="E4" s="54">
        <v>57</v>
      </c>
      <c r="F4" s="54">
        <v>67</v>
      </c>
      <c r="G4" s="54">
        <v>67</v>
      </c>
      <c r="H4" s="54">
        <v>57</v>
      </c>
      <c r="I4" s="54">
        <v>63</v>
      </c>
      <c r="J4" s="54">
        <v>38</v>
      </c>
      <c r="K4" s="57">
        <v>38</v>
      </c>
      <c r="L4" s="62">
        <v>63</v>
      </c>
      <c r="M4" s="54">
        <v>63</v>
      </c>
      <c r="N4" s="54">
        <v>63</v>
      </c>
      <c r="O4" s="67">
        <v>23</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82356</v>
      </c>
      <c r="C9" s="54">
        <v>1693</v>
      </c>
      <c r="D9" s="54">
        <v>92472</v>
      </c>
      <c r="E9" s="54">
        <v>72248</v>
      </c>
      <c r="F9" s="54">
        <v>103321</v>
      </c>
      <c r="G9" s="54">
        <v>9583</v>
      </c>
      <c r="H9" s="54">
        <v>17093</v>
      </c>
      <c r="I9" s="54">
        <v>3966</v>
      </c>
      <c r="J9" s="54">
        <v>35408</v>
      </c>
      <c r="K9" s="57">
        <v>37145</v>
      </c>
      <c r="L9" s="62">
        <v>6258</v>
      </c>
      <c r="M9" s="54">
        <v>1355</v>
      </c>
      <c r="N9" s="54">
        <v>540</v>
      </c>
      <c r="O9" s="67">
        <v>69</v>
      </c>
      <c r="P9" s="1"/>
    </row>
    <row r="10" spans="1:16" x14ac:dyDescent="0.25">
      <c r="A10" s="48" t="s">
        <v>34</v>
      </c>
      <c r="B10" s="54"/>
      <c r="C10" s="54"/>
      <c r="D10" s="54"/>
      <c r="E10" s="54"/>
      <c r="F10" s="54"/>
      <c r="G10" s="54"/>
      <c r="H10" s="54"/>
      <c r="I10" s="54"/>
      <c r="J10" s="54"/>
      <c r="K10" s="57"/>
      <c r="L10" s="62"/>
      <c r="M10" s="54"/>
      <c r="N10" s="54">
        <v>39</v>
      </c>
      <c r="O10" s="67">
        <v>11</v>
      </c>
    </row>
    <row r="11" spans="1:16" x14ac:dyDescent="0.25">
      <c r="A11" s="48" t="s">
        <v>123</v>
      </c>
      <c r="B11" s="54"/>
      <c r="C11" s="54"/>
      <c r="D11" s="54"/>
      <c r="E11" s="54"/>
      <c r="F11" s="54"/>
      <c r="G11" s="54"/>
      <c r="H11" s="54"/>
      <c r="I11" s="54"/>
      <c r="J11" s="54"/>
      <c r="K11" s="57"/>
      <c r="L11" s="62"/>
      <c r="M11" s="54"/>
      <c r="N11" s="54">
        <v>18</v>
      </c>
      <c r="O11" s="67"/>
    </row>
    <row r="12" spans="1:16" x14ac:dyDescent="0.25">
      <c r="A12" s="48" t="s">
        <v>35</v>
      </c>
      <c r="B12" s="54">
        <v>3306</v>
      </c>
      <c r="C12" s="54">
        <v>52</v>
      </c>
      <c r="D12" s="54">
        <v>10023</v>
      </c>
      <c r="E12" s="54">
        <v>5690</v>
      </c>
      <c r="F12" s="54">
        <v>1668</v>
      </c>
      <c r="G12" s="54">
        <v>152</v>
      </c>
      <c r="H12" s="54">
        <v>1019</v>
      </c>
      <c r="I12" s="54">
        <v>16</v>
      </c>
      <c r="J12" s="54">
        <v>2517</v>
      </c>
      <c r="K12" s="57">
        <v>2311</v>
      </c>
      <c r="L12" s="62">
        <v>61</v>
      </c>
      <c r="M12" s="54">
        <v>19</v>
      </c>
      <c r="N12" s="54">
        <v>4</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4.0142794696196998E-2</v>
      </c>
      <c r="C16" s="71">
        <f t="shared" ref="C16:O16" si="0">C12/C9</f>
        <v>3.0714707619610159E-2</v>
      </c>
      <c r="D16" s="71">
        <f t="shared" si="0"/>
        <v>0.10838956657150273</v>
      </c>
      <c r="E16" s="71">
        <f t="shared" si="0"/>
        <v>7.8756505370390875E-2</v>
      </c>
      <c r="F16" s="71">
        <f t="shared" si="0"/>
        <v>1.6143862331955749E-2</v>
      </c>
      <c r="G16" s="71">
        <f t="shared" si="0"/>
        <v>1.5861421266826672E-2</v>
      </c>
      <c r="H16" s="71">
        <f t="shared" si="0"/>
        <v>5.9615047095302173E-2</v>
      </c>
      <c r="I16" s="71">
        <f t="shared" si="0"/>
        <v>4.034291477559254E-3</v>
      </c>
      <c r="J16" s="71">
        <f t="shared" si="0"/>
        <v>7.1085630366018976E-2</v>
      </c>
      <c r="K16" s="71">
        <f t="shared" si="0"/>
        <v>6.2215641405303543E-2</v>
      </c>
      <c r="L16" s="71">
        <f t="shared" si="0"/>
        <v>9.747523170341962E-3</v>
      </c>
      <c r="M16" s="71">
        <f t="shared" si="0"/>
        <v>1.4022140221402213E-2</v>
      </c>
      <c r="N16" s="71">
        <f t="shared" si="0"/>
        <v>7.4074074074074077E-3</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7.2222222222222215E-2</v>
      </c>
      <c r="O19" s="72">
        <f>O10/O9</f>
        <v>0.15942028985507245</v>
      </c>
    </row>
    <row r="20" spans="1:15" x14ac:dyDescent="0.25">
      <c r="A20" s="48" t="s">
        <v>59</v>
      </c>
      <c r="B20" s="72">
        <v>0.05</v>
      </c>
      <c r="C20" s="72"/>
      <c r="D20" s="72">
        <v>0.1</v>
      </c>
      <c r="E20" s="72"/>
      <c r="F20" s="72"/>
      <c r="G20" s="72"/>
      <c r="H20" s="72"/>
      <c r="I20" s="72"/>
      <c r="J20" s="72"/>
      <c r="K20" s="72"/>
      <c r="L20" s="72"/>
      <c r="M20" s="72"/>
      <c r="N20" s="72">
        <f>N11/N9</f>
        <v>3.3333333333333333E-2</v>
      </c>
      <c r="O20" s="73"/>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5.9419913419913417</v>
      </c>
      <c r="C24" s="66">
        <f t="shared" si="1"/>
        <v>1.335173501577287</v>
      </c>
      <c r="D24" s="66">
        <f t="shared" si="1"/>
        <v>152.89682539682539</v>
      </c>
      <c r="E24" s="66">
        <f t="shared" si="1"/>
        <v>154.83926275182168</v>
      </c>
      <c r="F24" s="66">
        <f t="shared" si="1"/>
        <v>31.577322738386307</v>
      </c>
      <c r="G24" s="66">
        <f t="shared" si="1"/>
        <v>18.618612784146105</v>
      </c>
      <c r="H24" s="66">
        <f t="shared" si="1"/>
        <v>25.726971703792895</v>
      </c>
      <c r="I24" s="66">
        <f t="shared" si="1"/>
        <v>16.121951219512194</v>
      </c>
      <c r="J24" s="66">
        <f t="shared" si="1"/>
        <v>43.627402661409562</v>
      </c>
      <c r="K24" s="66">
        <f t="shared" si="1"/>
        <v>55.448574414091659</v>
      </c>
      <c r="L24" s="66">
        <f t="shared" si="1"/>
        <v>16.648044692737429</v>
      </c>
      <c r="M24" s="66">
        <f t="shared" si="1"/>
        <v>9.2430797641629905</v>
      </c>
      <c r="N24" s="66">
        <f>N9/$N$6*100000</f>
        <v>18.430034129692835</v>
      </c>
      <c r="O24" s="66">
        <f>O9/$O$6*100000</f>
        <v>12.483841115078398</v>
      </c>
    </row>
    <row r="25" spans="1:15" x14ac:dyDescent="0.25">
      <c r="A25" s="48" t="s">
        <v>34</v>
      </c>
      <c r="B25" s="65"/>
      <c r="C25" s="65"/>
      <c r="D25" s="65"/>
      <c r="E25" s="65"/>
      <c r="F25" s="65"/>
      <c r="G25" s="65"/>
      <c r="H25" s="65"/>
      <c r="I25" s="65"/>
      <c r="J25" s="65"/>
      <c r="K25" s="65"/>
      <c r="L25" s="65"/>
      <c r="M25" s="65"/>
      <c r="N25" s="66">
        <f>N10/$N$6*100000</f>
        <v>1.3310580204778157</v>
      </c>
      <c r="O25" s="66">
        <f>O10/$O$6*100000</f>
        <v>1.9901775690704693</v>
      </c>
    </row>
    <row r="26" spans="1:15" x14ac:dyDescent="0.25">
      <c r="A26" s="48" t="s">
        <v>35</v>
      </c>
      <c r="B26" s="66">
        <f>B12/B6*100000</f>
        <v>0.23852813852813851</v>
      </c>
      <c r="C26" s="66">
        <f t="shared" ref="C26:O26" si="2">C12/C6*100000</f>
        <v>4.1009463722397478E-2</v>
      </c>
      <c r="D26" s="66">
        <f t="shared" si="2"/>
        <v>16.572420634920636</v>
      </c>
      <c r="E26" s="66">
        <f t="shared" si="2"/>
        <v>12.194599228461209</v>
      </c>
      <c r="F26" s="66">
        <f t="shared" si="2"/>
        <v>0.50977995110024443</v>
      </c>
      <c r="G26" s="66">
        <f t="shared" si="2"/>
        <v>0.29531766077326599</v>
      </c>
      <c r="H26" s="66">
        <f t="shared" si="2"/>
        <v>1.5337146297411199</v>
      </c>
      <c r="I26" s="66">
        <f t="shared" si="2"/>
        <v>6.5040650406504058E-2</v>
      </c>
      <c r="J26" s="66">
        <f t="shared" si="2"/>
        <v>3.101281419418433</v>
      </c>
      <c r="K26" s="66">
        <f t="shared" si="2"/>
        <v>3.4497686221824155</v>
      </c>
      <c r="L26" s="66">
        <f t="shared" si="2"/>
        <v>0.16227720138334664</v>
      </c>
      <c r="M26" s="66">
        <f t="shared" si="2"/>
        <v>0.12960776053069875</v>
      </c>
      <c r="N26" s="66">
        <f t="shared" si="2"/>
        <v>0.13651877133105803</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2233.5945454545454</v>
      </c>
      <c r="C32" s="7">
        <f t="shared" si="3"/>
        <v>501.89171924290218</v>
      </c>
      <c r="D32" s="7">
        <f t="shared" si="3"/>
        <v>57473.916666666657</v>
      </c>
      <c r="E32" s="7">
        <f t="shared" si="3"/>
        <v>58204.078868409764</v>
      </c>
      <c r="F32" s="7">
        <f t="shared" si="3"/>
        <v>11869.915617359415</v>
      </c>
      <c r="G32" s="7">
        <f t="shared" si="3"/>
        <v>6998.7365455605213</v>
      </c>
      <c r="H32" s="7">
        <f t="shared" si="3"/>
        <v>9670.7686634557504</v>
      </c>
      <c r="I32" s="7">
        <f t="shared" si="3"/>
        <v>6060.2414634146335</v>
      </c>
      <c r="J32" s="7">
        <f t="shared" si="3"/>
        <v>16399.540660423852</v>
      </c>
      <c r="K32" s="7">
        <f t="shared" si="3"/>
        <v>20843.119122257052</v>
      </c>
      <c r="L32" s="7">
        <f t="shared" si="3"/>
        <v>6258</v>
      </c>
      <c r="M32" s="7">
        <f t="shared" si="3"/>
        <v>3474.4736833488678</v>
      </c>
      <c r="N32" s="7">
        <f t="shared" si="3"/>
        <v>6927.8498293515377</v>
      </c>
      <c r="O32" s="7">
        <f t="shared" si="3"/>
        <v>4692.67587515797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89.662727272727267</v>
      </c>
      <c r="C34" s="7">
        <f t="shared" si="4"/>
        <v>15.415457413249211</v>
      </c>
      <c r="D34" s="7">
        <f t="shared" si="4"/>
        <v>6229.5729166666679</v>
      </c>
      <c r="E34" s="7">
        <f t="shared" si="4"/>
        <v>4583.9498499785686</v>
      </c>
      <c r="F34" s="7">
        <f t="shared" si="4"/>
        <v>191.62628361858188</v>
      </c>
      <c r="G34" s="7">
        <f t="shared" si="4"/>
        <v>111.00990868467068</v>
      </c>
      <c r="H34" s="7">
        <f t="shared" si="4"/>
        <v>576.52332931968692</v>
      </c>
      <c r="I34" s="7">
        <f t="shared" si="4"/>
        <v>24.448780487804875</v>
      </c>
      <c r="J34" s="7">
        <f t="shared" si="4"/>
        <v>1165.771685559389</v>
      </c>
      <c r="K34" s="7">
        <f t="shared" si="4"/>
        <v>1296.7680250783699</v>
      </c>
      <c r="L34" s="7">
        <f t="shared" si="4"/>
        <v>61</v>
      </c>
      <c r="M34" s="7">
        <f t="shared" si="4"/>
        <v>48.719557183489663</v>
      </c>
      <c r="N34" s="7">
        <f t="shared" si="4"/>
        <v>51.317406143344712</v>
      </c>
      <c r="O34" s="7">
        <f t="shared" si="4"/>
        <v>0</v>
      </c>
    </row>
    <row r="35" spans="1:15" hidden="1" x14ac:dyDescent="0.25"/>
    <row r="36" spans="1:15" hidden="1" x14ac:dyDescent="0.25">
      <c r="A36" t="s">
        <v>48</v>
      </c>
      <c r="B36" t="s">
        <v>75</v>
      </c>
    </row>
    <row r="37" spans="1:15" hidden="1" x14ac:dyDescent="0.25">
      <c r="A37" t="s">
        <v>50</v>
      </c>
      <c r="B37" s="7">
        <f>MIN($B$32:$M$32)</f>
        <v>501.89171924290218</v>
      </c>
      <c r="C37" s="7"/>
    </row>
    <row r="38" spans="1:15" hidden="1" x14ac:dyDescent="0.25">
      <c r="A38" t="s">
        <v>51</v>
      </c>
      <c r="B38" s="7">
        <f>MAX(B32:M32)</f>
        <v>58204.078868409764</v>
      </c>
      <c r="C38">
        <f>B38*1.6%</f>
        <v>931.26526189455626</v>
      </c>
      <c r="D38" t="s">
        <v>78</v>
      </c>
    </row>
    <row r="39" spans="1:15" hidden="1" x14ac:dyDescent="0.25"/>
    <row r="40" spans="1:15" hidden="1" x14ac:dyDescent="0.25">
      <c r="A40" t="s">
        <v>49</v>
      </c>
    </row>
    <row r="41" spans="1:15" hidden="1" x14ac:dyDescent="0.25">
      <c r="A41" t="s">
        <v>50</v>
      </c>
      <c r="B41" s="7">
        <f>MIN(B34:M34)</f>
        <v>15.415457413249211</v>
      </c>
    </row>
    <row r="42" spans="1:15" hidden="1" x14ac:dyDescent="0.25">
      <c r="A42" t="s">
        <v>51</v>
      </c>
      <c r="B42" s="7">
        <f>MAX($B$34:$M$34)</f>
        <v>6229.5729166666679</v>
      </c>
      <c r="C42">
        <f>B42*1.6%</f>
        <v>99.673166666666688</v>
      </c>
      <c r="D42" t="s">
        <v>78</v>
      </c>
    </row>
    <row r="43" spans="1:15" hidden="1" x14ac:dyDescent="0.25">
      <c r="B43" s="7"/>
    </row>
    <row r="44" spans="1:15" hidden="1" x14ac:dyDescent="0.25">
      <c r="A44" t="s">
        <v>63</v>
      </c>
      <c r="B44" s="7" t="s">
        <v>65</v>
      </c>
      <c r="C44" t="s">
        <v>66</v>
      </c>
    </row>
    <row r="45" spans="1:15" hidden="1" x14ac:dyDescent="0.25">
      <c r="A45" t="s">
        <v>50</v>
      </c>
      <c r="B45" s="7">
        <f>B19*L9</f>
        <v>938.69999999999993</v>
      </c>
      <c r="C45" s="7">
        <f>B37*B19</f>
        <v>75.283757886435325</v>
      </c>
    </row>
    <row r="46" spans="1:15" hidden="1" x14ac:dyDescent="0.25">
      <c r="A46" t="s">
        <v>51</v>
      </c>
      <c r="B46" s="7">
        <f>L9*D19</f>
        <v>3504.4800000000005</v>
      </c>
      <c r="C46" s="7">
        <f>B38*D19</f>
        <v>32594.28416630947</v>
      </c>
      <c r="D46">
        <f>C46*1.6%</f>
        <v>521.50854666095154</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625.80000000000007</v>
      </c>
      <c r="C50" s="7">
        <f>B38*D20</f>
        <v>5820.407886840977</v>
      </c>
      <c r="D50">
        <f>C50*1.6%</f>
        <v>93.126526189455632</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871.07311348917733</v>
      </c>
      <c r="C55" s="7">
        <f t="shared" si="5"/>
        <v>195.73130826498422</v>
      </c>
      <c r="D55" s="7">
        <f t="shared" si="5"/>
        <v>22414.087479365076</v>
      </c>
      <c r="E55" s="7">
        <f t="shared" si="5"/>
        <v>22698.841336648093</v>
      </c>
      <c r="F55" s="7">
        <f t="shared" si="5"/>
        <v>4629.114256528117</v>
      </c>
      <c r="G55" s="7">
        <f t="shared" si="5"/>
        <v>2729.4171386827279</v>
      </c>
      <c r="H55" s="7">
        <f t="shared" si="5"/>
        <v>3771.475260204696</v>
      </c>
      <c r="I55" s="7">
        <f t="shared" si="5"/>
        <v>2363.4161404878046</v>
      </c>
      <c r="J55" s="7">
        <f t="shared" si="5"/>
        <v>6395.6097009364221</v>
      </c>
      <c r="K55" s="7">
        <f t="shared" si="5"/>
        <v>8128.5480865800873</v>
      </c>
      <c r="L55" s="7">
        <f t="shared" si="5"/>
        <v>2440.5394234636869</v>
      </c>
      <c r="M55" s="7">
        <f t="shared" si="5"/>
        <v>1355</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34.967309160173158</v>
      </c>
      <c r="C57" s="7">
        <f t="shared" si="6"/>
        <v>6.0118299053627764</v>
      </c>
      <c r="D57" s="7">
        <f t="shared" si="6"/>
        <v>2429.453226984127</v>
      </c>
      <c r="E57" s="7">
        <f t="shared" si="6"/>
        <v>1787.681419631376</v>
      </c>
      <c r="F57" s="7">
        <f t="shared" si="6"/>
        <v>74.731783276283608</v>
      </c>
      <c r="G57" s="7">
        <f t="shared" si="6"/>
        <v>43.292435049543428</v>
      </c>
      <c r="H57" s="7">
        <f t="shared" si="6"/>
        <v>224.83667525586995</v>
      </c>
      <c r="I57" s="7">
        <f t="shared" si="6"/>
        <v>9.5347095934959345</v>
      </c>
      <c r="J57" s="7">
        <f t="shared" si="6"/>
        <v>454.63594716609174</v>
      </c>
      <c r="K57" s="7">
        <f t="shared" si="6"/>
        <v>505.72283290043293</v>
      </c>
      <c r="L57" s="7">
        <f t="shared" si="6"/>
        <v>23.789214578345305</v>
      </c>
      <c r="M57" s="7">
        <f t="shared" si="6"/>
        <v>19</v>
      </c>
      <c r="N57" s="7"/>
    </row>
    <row r="58" spans="1:14" hidden="1" x14ac:dyDescent="0.25"/>
    <row r="59" spans="1:14" hidden="1" x14ac:dyDescent="0.25">
      <c r="A59" t="s">
        <v>48</v>
      </c>
    </row>
    <row r="60" spans="1:14" hidden="1" x14ac:dyDescent="0.25">
      <c r="A60" t="s">
        <v>50</v>
      </c>
      <c r="B60" s="7">
        <f>MIN($B$55:$M$55)</f>
        <v>195.73130826498422</v>
      </c>
    </row>
    <row r="61" spans="1:14" hidden="1" x14ac:dyDescent="0.25">
      <c r="A61" t="s">
        <v>51</v>
      </c>
      <c r="B61" s="7">
        <f>MAX($B$55:$M$55)</f>
        <v>22698.841336648093</v>
      </c>
    </row>
    <row r="62" spans="1:14" hidden="1" x14ac:dyDescent="0.25"/>
    <row r="63" spans="1:14" hidden="1" x14ac:dyDescent="0.25">
      <c r="A63" t="s">
        <v>49</v>
      </c>
    </row>
    <row r="64" spans="1:14" hidden="1" x14ac:dyDescent="0.25">
      <c r="A64" t="s">
        <v>50</v>
      </c>
      <c r="B64" s="7">
        <f>MIN($B$57:$M$57)</f>
        <v>6.0118299053627764</v>
      </c>
    </row>
    <row r="65" spans="1:14" hidden="1" x14ac:dyDescent="0.25">
      <c r="A65" t="s">
        <v>51</v>
      </c>
      <c r="B65" s="7">
        <f>MAX($B$57:$M$57)</f>
        <v>2429.453226984127</v>
      </c>
    </row>
    <row r="66" spans="1:14" hidden="1" x14ac:dyDescent="0.25">
      <c r="B66" s="7"/>
    </row>
    <row r="67" spans="1:14" hidden="1" x14ac:dyDescent="0.25">
      <c r="A67" t="s">
        <v>63</v>
      </c>
      <c r="B67" s="7" t="s">
        <v>77</v>
      </c>
      <c r="C67" t="s">
        <v>76</v>
      </c>
    </row>
    <row r="68" spans="1:14" hidden="1" x14ac:dyDescent="0.25">
      <c r="A68" t="s">
        <v>50</v>
      </c>
      <c r="B68" s="7">
        <f>B19*M9</f>
        <v>203.25</v>
      </c>
    </row>
    <row r="69" spans="1:14" hidden="1" x14ac:dyDescent="0.25">
      <c r="A69" t="s">
        <v>51</v>
      </c>
      <c r="B69" s="7">
        <f>D19*M9</f>
        <v>758.80000000000007</v>
      </c>
      <c r="C69" s="7">
        <f>B61*D19</f>
        <v>12711.351148522934</v>
      </c>
    </row>
    <row r="70" spans="1:14" hidden="1" x14ac:dyDescent="0.25">
      <c r="B70" s="7"/>
    </row>
    <row r="71" spans="1:14" hidden="1" x14ac:dyDescent="0.25">
      <c r="A71" t="s">
        <v>64</v>
      </c>
      <c r="B71" s="7" t="s">
        <v>77</v>
      </c>
      <c r="C71" t="s">
        <v>76</v>
      </c>
    </row>
    <row r="72" spans="1:14" hidden="1" x14ac:dyDescent="0.25">
      <c r="A72" t="s">
        <v>50</v>
      </c>
      <c r="B72" s="7">
        <f>B20*M9</f>
        <v>67.75</v>
      </c>
    </row>
    <row r="73" spans="1:14" hidden="1" x14ac:dyDescent="0.25">
      <c r="A73" t="s">
        <v>51</v>
      </c>
      <c r="B73">
        <f>D20*M9</f>
        <v>135.5</v>
      </c>
      <c r="C73" s="7">
        <f>B61*D20</f>
        <v>2269.8841336648093</v>
      </c>
    </row>
    <row r="75" spans="1:14" x14ac:dyDescent="0.25">
      <c r="A75" s="10" t="s">
        <v>52</v>
      </c>
    </row>
    <row r="77" spans="1:14" x14ac:dyDescent="0.25">
      <c r="A77" s="48" t="s">
        <v>48</v>
      </c>
      <c r="B77" s="43">
        <f t="shared" ref="B77:M77" si="7">B24*$O$6/100000</f>
        <v>32.842247735930734</v>
      </c>
      <c r="C77" s="43">
        <f t="shared" si="7"/>
        <v>7.3796975433753946</v>
      </c>
      <c r="D77" s="43">
        <f t="shared" si="7"/>
        <v>845.08292400793641</v>
      </c>
      <c r="E77" s="43">
        <f t="shared" si="7"/>
        <v>855.81905692241742</v>
      </c>
      <c r="F77" s="43">
        <f t="shared" si="7"/>
        <v>174.5324414868582</v>
      </c>
      <c r="G77" s="43">
        <f t="shared" si="7"/>
        <v>102.90777255682923</v>
      </c>
      <c r="H77" s="43">
        <f t="shared" si="7"/>
        <v>142.1967030177604</v>
      </c>
      <c r="I77" s="43">
        <f t="shared" si="7"/>
        <v>89.108362073170724</v>
      </c>
      <c r="J77" s="43">
        <f t="shared" si="7"/>
        <v>241.13498048299655</v>
      </c>
      <c r="K77" s="43">
        <f t="shared" si="7"/>
        <v>306.47231082997462</v>
      </c>
      <c r="L77" s="43">
        <f t="shared" si="7"/>
        <v>92.016156983240208</v>
      </c>
      <c r="M77" s="43">
        <f t="shared" si="7"/>
        <v>51.087842103094651</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1.3183796082251082</v>
      </c>
      <c r="C79" s="43">
        <f t="shared" si="8"/>
        <v>0.2266652523659306</v>
      </c>
      <c r="D79" s="43">
        <f t="shared" si="8"/>
        <v>91.598171850198412</v>
      </c>
      <c r="E79" s="43">
        <f t="shared" si="8"/>
        <v>67.401318152593234</v>
      </c>
      <c r="F79" s="43">
        <f t="shared" si="8"/>
        <v>2.8176277078239602</v>
      </c>
      <c r="G79" s="43">
        <f t="shared" si="8"/>
        <v>1.6322635321546533</v>
      </c>
      <c r="H79" s="43">
        <f t="shared" si="8"/>
        <v>8.4770631472004823</v>
      </c>
      <c r="I79" s="43">
        <f t="shared" si="8"/>
        <v>0.35948910569105691</v>
      </c>
      <c r="J79" s="43">
        <f t="shared" si="8"/>
        <v>17.141232090931496</v>
      </c>
      <c r="K79" s="43">
        <f t="shared" si="8"/>
        <v>19.067371391252426</v>
      </c>
      <c r="L79" s="43">
        <f t="shared" si="8"/>
        <v>0.89692962223995754</v>
      </c>
      <c r="M79" s="43">
        <f t="shared" si="8"/>
        <v>0.7163608855784489</v>
      </c>
      <c r="N79" s="7"/>
    </row>
    <row r="81" spans="1:3" x14ac:dyDescent="0.25">
      <c r="A81" s="65" t="s">
        <v>48</v>
      </c>
      <c r="B81" s="65" t="s">
        <v>72</v>
      </c>
      <c r="C81" s="65" t="s">
        <v>73</v>
      </c>
    </row>
    <row r="82" spans="1:3" x14ac:dyDescent="0.25">
      <c r="A82" s="65" t="s">
        <v>50</v>
      </c>
      <c r="B82" s="66">
        <f>MIN($B$77:$M$77)</f>
        <v>7.3796975433753946</v>
      </c>
      <c r="C82" s="66">
        <f>MIN($C$77:$M$77)</f>
        <v>7.3796975433753946</v>
      </c>
    </row>
    <row r="83" spans="1:3" x14ac:dyDescent="0.25">
      <c r="A83" s="65" t="s">
        <v>51</v>
      </c>
      <c r="B83" s="66">
        <f>MAX($B$77:$M$77)</f>
        <v>855.81905692241742</v>
      </c>
      <c r="C83" s="66">
        <f>MAX($C$77:$M$77)</f>
        <v>855.81905692241742</v>
      </c>
    </row>
    <row r="84" spans="1:3" x14ac:dyDescent="0.25">
      <c r="A84" s="65"/>
      <c r="B84" s="65"/>
      <c r="C84" s="65"/>
    </row>
    <row r="85" spans="1:3" x14ac:dyDescent="0.25">
      <c r="A85" s="65" t="s">
        <v>49</v>
      </c>
      <c r="B85" s="65"/>
      <c r="C85" s="65"/>
    </row>
    <row r="86" spans="1:3" x14ac:dyDescent="0.25">
      <c r="A86" s="65" t="s">
        <v>50</v>
      </c>
      <c r="B86" s="66">
        <f>MIN($B$79:$M$79)</f>
        <v>0.2266652523659306</v>
      </c>
      <c r="C86" s="66">
        <f>MIN($C$79:$M$79)</f>
        <v>0.2266652523659306</v>
      </c>
    </row>
    <row r="87" spans="1:3" x14ac:dyDescent="0.25">
      <c r="A87" s="65" t="s">
        <v>51</v>
      </c>
      <c r="B87" s="66">
        <f>MAX($B$79:$M$79)</f>
        <v>91.598171850198412</v>
      </c>
      <c r="C87" s="66">
        <f>MAX($C$79:$M$79)</f>
        <v>91.598171850198412</v>
      </c>
    </row>
    <row r="88" spans="1:3" x14ac:dyDescent="0.25">
      <c r="A88" s="65"/>
      <c r="B88" s="65"/>
      <c r="C88" s="65"/>
    </row>
    <row r="89" spans="1:3" x14ac:dyDescent="0.25">
      <c r="A89" s="65" t="s">
        <v>27</v>
      </c>
      <c r="B89" s="65"/>
      <c r="C89" s="65"/>
    </row>
    <row r="90" spans="1:3" x14ac:dyDescent="0.25">
      <c r="A90" s="65" t="s">
        <v>50</v>
      </c>
      <c r="B90" s="66">
        <f>B82*$D$19</f>
        <v>4.1326306242902211</v>
      </c>
      <c r="C90" s="66">
        <f>C82*$D$19</f>
        <v>4.1326306242902211</v>
      </c>
    </row>
    <row r="91" spans="1:3" x14ac:dyDescent="0.25">
      <c r="A91" s="65" t="s">
        <v>51</v>
      </c>
      <c r="B91" s="66">
        <f>B83*$D$19</f>
        <v>479.25867187655382</v>
      </c>
      <c r="C91" s="66">
        <f>C83*$D$19</f>
        <v>479.25867187655382</v>
      </c>
    </row>
    <row r="92" spans="1:3" x14ac:dyDescent="0.25">
      <c r="A92" s="65"/>
      <c r="B92" s="66"/>
      <c r="C92" s="65"/>
    </row>
    <row r="93" spans="1:3" x14ac:dyDescent="0.25">
      <c r="A93" s="65" t="s">
        <v>62</v>
      </c>
      <c r="B93" s="66"/>
      <c r="C93" s="65"/>
    </row>
    <row r="94" spans="1:3" x14ac:dyDescent="0.25">
      <c r="A94" s="65" t="s">
        <v>50</v>
      </c>
      <c r="B94" s="66">
        <f>B82*$D$20</f>
        <v>0.73796975433753953</v>
      </c>
      <c r="C94" s="66">
        <f>C82*$D$20</f>
        <v>0.73796975433753953</v>
      </c>
    </row>
    <row r="95" spans="1:3" x14ac:dyDescent="0.25">
      <c r="A95" s="65" t="s">
        <v>51</v>
      </c>
      <c r="B95" s="66">
        <f>B83*$D$20</f>
        <v>85.581905692241747</v>
      </c>
      <c r="C95" s="66">
        <f>C83*$D$20</f>
        <v>85.581905692241747</v>
      </c>
    </row>
  </sheetData>
  <hyperlinks>
    <hyperlink ref="D18" r:id="rId1" xr:uid="{4D4FE760-48AC-4CB6-8694-259B6E0A35FC}"/>
    <hyperlink ref="B18" r:id="rId2" xr:uid="{39541A63-612F-4726-8D4C-93EE965CF9F9}"/>
    <hyperlink ref="B1" r:id="rId3" xr:uid="{226CAE3E-DD8E-4D2B-BE60-BB47FA61447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58BC-5348-41FE-9AEC-18BAD2672F05}">
  <sheetPr codeName="Sheet8"/>
  <dimension ref="B2:E20"/>
  <sheetViews>
    <sheetView workbookViewId="0">
      <selection activeCell="B13" sqref="B13"/>
    </sheetView>
  </sheetViews>
  <sheetFormatPr defaultRowHeight="15" x14ac:dyDescent="0.25"/>
  <cols>
    <col min="2" max="2" width="34.5703125" style="40" customWidth="1"/>
    <col min="3" max="3" width="11.28515625" bestFit="1" customWidth="1"/>
    <col min="4" max="4" width="7.28515625" bestFit="1" customWidth="1"/>
    <col min="5" max="5" width="8.5703125" bestFit="1" customWidth="1"/>
  </cols>
  <sheetData>
    <row r="2" spans="2:5" x14ac:dyDescent="0.25">
      <c r="B2" s="38" t="s">
        <v>110</v>
      </c>
      <c r="C2" s="33"/>
      <c r="D2" s="33"/>
      <c r="E2" s="33"/>
    </row>
    <row r="3" spans="2:5" x14ac:dyDescent="0.25">
      <c r="B3" s="39"/>
      <c r="C3" s="35" t="s">
        <v>17</v>
      </c>
      <c r="D3" s="35" t="s">
        <v>95</v>
      </c>
      <c r="E3" s="35" t="s">
        <v>100</v>
      </c>
    </row>
    <row r="4" spans="2:5" x14ac:dyDescent="0.25">
      <c r="B4" s="39" t="s">
        <v>31</v>
      </c>
      <c r="C4" s="34">
        <f>'Comparative Cases March 20'!M9</f>
        <v>311</v>
      </c>
      <c r="D4" s="34">
        <f>'Comparative Cases March 20'!N9</f>
        <v>161</v>
      </c>
      <c r="E4" s="34">
        <f>'Comparative Cases March 20'!O9</f>
        <v>15</v>
      </c>
    </row>
    <row r="5" spans="2:5" x14ac:dyDescent="0.25">
      <c r="B5" s="39" t="s">
        <v>49</v>
      </c>
      <c r="C5" s="34">
        <f>'Comparative Cases March 20'!M11</f>
        <v>2</v>
      </c>
      <c r="D5" s="34">
        <f>'Comparative Cases March 20'!N11</f>
        <v>2</v>
      </c>
      <c r="E5" s="34">
        <f>'Comparative Cases March 20'!O11</f>
        <v>0</v>
      </c>
    </row>
    <row r="7" spans="2:5" x14ac:dyDescent="0.25">
      <c r="B7" s="38" t="s">
        <v>104</v>
      </c>
      <c r="C7" s="33"/>
      <c r="D7" s="33"/>
      <c r="E7" s="33"/>
    </row>
    <row r="8" spans="2:5" x14ac:dyDescent="0.25">
      <c r="B8" s="39" t="str">
        <f>B4</f>
        <v>Confirmed Cases</v>
      </c>
      <c r="C8" s="36">
        <v>0.24</v>
      </c>
      <c r="D8" s="36">
        <v>0.26</v>
      </c>
      <c r="E8" s="36">
        <v>0.25</v>
      </c>
    </row>
    <row r="9" spans="2:5" x14ac:dyDescent="0.25">
      <c r="C9" s="33"/>
      <c r="D9" s="33"/>
      <c r="E9" s="33"/>
    </row>
    <row r="10" spans="2:5" x14ac:dyDescent="0.25">
      <c r="B10" s="38" t="s">
        <v>102</v>
      </c>
      <c r="C10" s="33"/>
      <c r="D10" s="33"/>
      <c r="E10" s="33"/>
    </row>
    <row r="11" spans="2:5" x14ac:dyDescent="0.25">
      <c r="B11" s="39" t="str">
        <f>B8</f>
        <v>Confirmed Cases</v>
      </c>
      <c r="C11" s="36">
        <v>0.2</v>
      </c>
      <c r="D11" s="36">
        <v>0.26</v>
      </c>
      <c r="E11" s="36">
        <v>0.28000000000000003</v>
      </c>
    </row>
    <row r="12" spans="2:5" x14ac:dyDescent="0.25">
      <c r="C12" s="33"/>
      <c r="D12" s="33"/>
      <c r="E12" s="33"/>
    </row>
    <row r="13" spans="2:5" x14ac:dyDescent="0.25">
      <c r="B13" s="38" t="s">
        <v>105</v>
      </c>
      <c r="C13" s="33"/>
      <c r="D13" s="33"/>
      <c r="E13" s="33"/>
    </row>
    <row r="14" spans="2:5" x14ac:dyDescent="0.25">
      <c r="B14" s="38" t="s">
        <v>107</v>
      </c>
      <c r="C14" s="33"/>
      <c r="D14" s="33"/>
      <c r="E14" s="33"/>
    </row>
    <row r="15" spans="2:5" x14ac:dyDescent="0.25">
      <c r="B15" s="39" t="s">
        <v>113</v>
      </c>
      <c r="C15" s="37">
        <v>210</v>
      </c>
      <c r="D15" s="41"/>
      <c r="E15" s="33"/>
    </row>
    <row r="16" spans="2:5" x14ac:dyDescent="0.25">
      <c r="B16" s="39" t="s">
        <v>114</v>
      </c>
      <c r="C16" s="37">
        <v>37</v>
      </c>
      <c r="D16" s="41"/>
      <c r="E16" s="33"/>
    </row>
    <row r="17" spans="2:5" x14ac:dyDescent="0.25">
      <c r="C17" s="33"/>
      <c r="D17" s="41"/>
      <c r="E17" s="33"/>
    </row>
    <row r="18" spans="2:5" x14ac:dyDescent="0.25">
      <c r="B18" s="38" t="s">
        <v>106</v>
      </c>
      <c r="C18" s="33"/>
      <c r="D18" s="41"/>
      <c r="E18" s="33"/>
    </row>
    <row r="19" spans="2:5" x14ac:dyDescent="0.25">
      <c r="B19" s="39" t="s">
        <v>111</v>
      </c>
      <c r="C19" s="34" t="s">
        <v>117</v>
      </c>
      <c r="D19" s="41"/>
      <c r="E19" s="33"/>
    </row>
    <row r="20" spans="2:5" x14ac:dyDescent="0.25">
      <c r="B20" s="39" t="s">
        <v>112</v>
      </c>
      <c r="C20" s="34" t="s">
        <v>118</v>
      </c>
      <c r="D20" s="41"/>
      <c r="E20" s="3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A1014-5560-4D2D-B1A3-5AB6203A3B36}">
  <sheetPr codeName="Sheet9"/>
  <dimension ref="A2:I163"/>
  <sheetViews>
    <sheetView zoomScale="70" zoomScaleNormal="70" workbookViewId="0">
      <selection activeCell="B2" sqref="B2"/>
    </sheetView>
  </sheetViews>
  <sheetFormatPr defaultRowHeight="15" x14ac:dyDescent="0.25"/>
  <cols>
    <col min="1" max="1" width="14.5703125" bestFit="1" customWidth="1"/>
    <col min="2" max="2" width="23.85546875" style="7" bestFit="1" customWidth="1"/>
    <col min="3" max="3" width="14.28515625" style="7" bestFit="1" customWidth="1"/>
    <col min="4" max="4" width="10.7109375" bestFit="1" customWidth="1"/>
    <col min="5" max="5" width="8.85546875" bestFit="1" customWidth="1"/>
    <col min="7" max="7" width="20" bestFit="1" customWidth="1"/>
  </cols>
  <sheetData>
    <row r="2" spans="1:8" x14ac:dyDescent="0.25">
      <c r="A2" t="s">
        <v>87</v>
      </c>
      <c r="B2" s="45">
        <v>43946</v>
      </c>
    </row>
    <row r="3" spans="1:8" x14ac:dyDescent="0.25">
      <c r="A3" t="s">
        <v>21</v>
      </c>
      <c r="B3" s="12" t="s">
        <v>53</v>
      </c>
    </row>
    <row r="4" spans="1:8" x14ac:dyDescent="0.25">
      <c r="B4" s="25" t="s">
        <v>22</v>
      </c>
      <c r="C4" s="25" t="s">
        <v>23</v>
      </c>
      <c r="D4" t="s">
        <v>24</v>
      </c>
      <c r="E4" s="24" t="s">
        <v>25</v>
      </c>
      <c r="F4" t="s">
        <v>26</v>
      </c>
      <c r="G4" s="23" t="s">
        <v>68</v>
      </c>
      <c r="H4" s="23" t="s">
        <v>27</v>
      </c>
    </row>
    <row r="5" spans="1:8" x14ac:dyDescent="0.25">
      <c r="A5" s="3">
        <v>43831</v>
      </c>
    </row>
    <row r="6" spans="1:8" x14ac:dyDescent="0.25">
      <c r="A6" s="3">
        <f>A5+1</f>
        <v>43832</v>
      </c>
    </row>
    <row r="7" spans="1:8" x14ac:dyDescent="0.25">
      <c r="A7" s="3">
        <f t="shared" ref="A7:A70" si="0">A6+1</f>
        <v>43833</v>
      </c>
    </row>
    <row r="8" spans="1:8" x14ac:dyDescent="0.25">
      <c r="A8" s="3">
        <f t="shared" si="0"/>
        <v>43834</v>
      </c>
    </row>
    <row r="9" spans="1:8" x14ac:dyDescent="0.25">
      <c r="A9" s="3">
        <f t="shared" si="0"/>
        <v>43835</v>
      </c>
    </row>
    <row r="10" spans="1:8" x14ac:dyDescent="0.25">
      <c r="A10" s="3">
        <f t="shared" si="0"/>
        <v>43836</v>
      </c>
    </row>
    <row r="11" spans="1:8" x14ac:dyDescent="0.25">
      <c r="A11" s="3">
        <f t="shared" si="0"/>
        <v>43837</v>
      </c>
    </row>
    <row r="12" spans="1:8" x14ac:dyDescent="0.25">
      <c r="A12" s="3">
        <f t="shared" si="0"/>
        <v>43838</v>
      </c>
    </row>
    <row r="13" spans="1:8" x14ac:dyDescent="0.25">
      <c r="A13" s="3">
        <f t="shared" si="0"/>
        <v>43839</v>
      </c>
    </row>
    <row r="14" spans="1:8" x14ac:dyDescent="0.25">
      <c r="A14" s="3">
        <f t="shared" si="0"/>
        <v>43840</v>
      </c>
    </row>
    <row r="15" spans="1:8" x14ac:dyDescent="0.25">
      <c r="A15" s="3">
        <f t="shared" si="0"/>
        <v>43841</v>
      </c>
    </row>
    <row r="16" spans="1:8" x14ac:dyDescent="0.25">
      <c r="A16" s="3">
        <f t="shared" si="0"/>
        <v>43842</v>
      </c>
    </row>
    <row r="17" spans="1:5" x14ac:dyDescent="0.25">
      <c r="A17" s="3">
        <f t="shared" si="0"/>
        <v>43843</v>
      </c>
    </row>
    <row r="18" spans="1:5" x14ac:dyDescent="0.25">
      <c r="A18" s="3">
        <f t="shared" si="0"/>
        <v>43844</v>
      </c>
    </row>
    <row r="19" spans="1:5" x14ac:dyDescent="0.25">
      <c r="A19" s="3">
        <f t="shared" si="0"/>
        <v>43845</v>
      </c>
    </row>
    <row r="20" spans="1:5" x14ac:dyDescent="0.25">
      <c r="A20" s="3">
        <f t="shared" si="0"/>
        <v>43846</v>
      </c>
    </row>
    <row r="21" spans="1:5" x14ac:dyDescent="0.25">
      <c r="A21" s="3">
        <f t="shared" si="0"/>
        <v>43847</v>
      </c>
    </row>
    <row r="22" spans="1:5" x14ac:dyDescent="0.25">
      <c r="A22" s="3">
        <f t="shared" si="0"/>
        <v>43848</v>
      </c>
    </row>
    <row r="23" spans="1:5" x14ac:dyDescent="0.25">
      <c r="A23" s="3">
        <f t="shared" si="0"/>
        <v>43849</v>
      </c>
    </row>
    <row r="24" spans="1:5" x14ac:dyDescent="0.25">
      <c r="A24" s="3">
        <f t="shared" si="0"/>
        <v>43850</v>
      </c>
    </row>
    <row r="25" spans="1:5" x14ac:dyDescent="0.25">
      <c r="A25" s="3">
        <f t="shared" si="0"/>
        <v>43851</v>
      </c>
    </row>
    <row r="26" spans="1:5" x14ac:dyDescent="0.25">
      <c r="A26" s="3">
        <f t="shared" si="0"/>
        <v>43852</v>
      </c>
    </row>
    <row r="27" spans="1:5" x14ac:dyDescent="0.25">
      <c r="A27" s="3">
        <f t="shared" si="0"/>
        <v>43853</v>
      </c>
    </row>
    <row r="28" spans="1:5" x14ac:dyDescent="0.25">
      <c r="A28" s="3">
        <f t="shared" si="0"/>
        <v>43854</v>
      </c>
    </row>
    <row r="29" spans="1:5" x14ac:dyDescent="0.25">
      <c r="A29" s="3">
        <f t="shared" si="0"/>
        <v>43855</v>
      </c>
      <c r="B29" s="7">
        <v>1</v>
      </c>
      <c r="C29" s="7">
        <v>1</v>
      </c>
      <c r="D29">
        <v>1</v>
      </c>
    </row>
    <row r="30" spans="1:5" x14ac:dyDescent="0.25">
      <c r="A30" s="3">
        <f t="shared" si="0"/>
        <v>43856</v>
      </c>
      <c r="B30" s="7">
        <f>B29+C30</f>
        <v>1</v>
      </c>
      <c r="E30" s="4">
        <f t="shared" ref="E30:E61" si="1">B30/B29-1</f>
        <v>0</v>
      </c>
    </row>
    <row r="31" spans="1:5" x14ac:dyDescent="0.25">
      <c r="A31" s="3">
        <f t="shared" si="0"/>
        <v>43857</v>
      </c>
      <c r="B31" s="7">
        <f t="shared" ref="B31:B74" si="2">B30+C31</f>
        <v>2</v>
      </c>
      <c r="C31" s="7">
        <v>1</v>
      </c>
      <c r="E31" s="4">
        <f t="shared" si="1"/>
        <v>1</v>
      </c>
    </row>
    <row r="32" spans="1:5" x14ac:dyDescent="0.25">
      <c r="A32" s="3">
        <f t="shared" si="0"/>
        <v>43858</v>
      </c>
      <c r="B32" s="7">
        <f t="shared" si="2"/>
        <v>2</v>
      </c>
      <c r="E32" s="4">
        <f t="shared" si="1"/>
        <v>0</v>
      </c>
    </row>
    <row r="33" spans="1:5" x14ac:dyDescent="0.25">
      <c r="A33" s="3">
        <f t="shared" si="0"/>
        <v>43859</v>
      </c>
      <c r="B33" s="7">
        <f t="shared" si="2"/>
        <v>2</v>
      </c>
      <c r="E33" s="4">
        <f t="shared" si="1"/>
        <v>0</v>
      </c>
    </row>
    <row r="34" spans="1:5" x14ac:dyDescent="0.25">
      <c r="A34" s="3">
        <f t="shared" si="0"/>
        <v>43860</v>
      </c>
      <c r="B34" s="7">
        <f t="shared" si="2"/>
        <v>2</v>
      </c>
      <c r="E34" s="4">
        <f t="shared" si="1"/>
        <v>0</v>
      </c>
    </row>
    <row r="35" spans="1:5" x14ac:dyDescent="0.25">
      <c r="A35" s="3">
        <f t="shared" si="0"/>
        <v>43861</v>
      </c>
      <c r="B35" s="7">
        <f t="shared" si="2"/>
        <v>3</v>
      </c>
      <c r="C35" s="7">
        <v>1</v>
      </c>
      <c r="E35" s="4">
        <f t="shared" si="1"/>
        <v>0.5</v>
      </c>
    </row>
    <row r="36" spans="1:5" x14ac:dyDescent="0.25">
      <c r="A36" s="3">
        <f t="shared" si="0"/>
        <v>43862</v>
      </c>
      <c r="B36" s="7">
        <f t="shared" si="2"/>
        <v>3</v>
      </c>
      <c r="E36" s="4">
        <f t="shared" si="1"/>
        <v>0</v>
      </c>
    </row>
    <row r="37" spans="1:5" x14ac:dyDescent="0.25">
      <c r="A37" s="3">
        <f t="shared" si="0"/>
        <v>43863</v>
      </c>
      <c r="B37" s="7">
        <f t="shared" si="2"/>
        <v>3</v>
      </c>
      <c r="E37" s="4">
        <f t="shared" si="1"/>
        <v>0</v>
      </c>
    </row>
    <row r="38" spans="1:5" x14ac:dyDescent="0.25">
      <c r="A38" s="3">
        <f t="shared" si="0"/>
        <v>43864</v>
      </c>
      <c r="B38" s="7">
        <f t="shared" si="2"/>
        <v>3</v>
      </c>
      <c r="E38" s="4">
        <f t="shared" si="1"/>
        <v>0</v>
      </c>
    </row>
    <row r="39" spans="1:5" x14ac:dyDescent="0.25">
      <c r="A39" s="3">
        <f t="shared" si="0"/>
        <v>43865</v>
      </c>
      <c r="B39" s="7">
        <f t="shared" si="2"/>
        <v>3</v>
      </c>
      <c r="E39" s="4">
        <f t="shared" si="1"/>
        <v>0</v>
      </c>
    </row>
    <row r="40" spans="1:5" x14ac:dyDescent="0.25">
      <c r="A40" s="3">
        <f t="shared" si="0"/>
        <v>43866</v>
      </c>
      <c r="B40" s="7">
        <f t="shared" si="2"/>
        <v>3</v>
      </c>
      <c r="E40" s="4">
        <f t="shared" si="1"/>
        <v>0</v>
      </c>
    </row>
    <row r="41" spans="1:5" x14ac:dyDescent="0.25">
      <c r="A41" s="3">
        <f t="shared" si="0"/>
        <v>43867</v>
      </c>
      <c r="B41" s="7">
        <f t="shared" si="2"/>
        <v>3</v>
      </c>
      <c r="E41" s="4">
        <f t="shared" si="1"/>
        <v>0</v>
      </c>
    </row>
    <row r="42" spans="1:5" x14ac:dyDescent="0.25">
      <c r="A42" s="3">
        <f t="shared" si="0"/>
        <v>43868</v>
      </c>
      <c r="B42" s="7">
        <f t="shared" si="2"/>
        <v>3</v>
      </c>
      <c r="E42" s="4">
        <f t="shared" si="1"/>
        <v>0</v>
      </c>
    </row>
    <row r="43" spans="1:5" x14ac:dyDescent="0.25">
      <c r="A43" s="3">
        <f t="shared" si="0"/>
        <v>43869</v>
      </c>
      <c r="B43" s="7">
        <f t="shared" si="2"/>
        <v>3</v>
      </c>
      <c r="E43" s="4">
        <f t="shared" si="1"/>
        <v>0</v>
      </c>
    </row>
    <row r="44" spans="1:5" x14ac:dyDescent="0.25">
      <c r="A44" s="3">
        <f t="shared" si="0"/>
        <v>43870</v>
      </c>
      <c r="B44" s="7">
        <f t="shared" si="2"/>
        <v>3</v>
      </c>
      <c r="E44" s="4">
        <f t="shared" si="1"/>
        <v>0</v>
      </c>
    </row>
    <row r="45" spans="1:5" x14ac:dyDescent="0.25">
      <c r="A45" s="3">
        <f t="shared" si="0"/>
        <v>43871</v>
      </c>
      <c r="B45" s="7">
        <f t="shared" si="2"/>
        <v>3</v>
      </c>
      <c r="E45" s="4">
        <f t="shared" si="1"/>
        <v>0</v>
      </c>
    </row>
    <row r="46" spans="1:5" x14ac:dyDescent="0.25">
      <c r="A46" s="3">
        <f t="shared" si="0"/>
        <v>43872</v>
      </c>
      <c r="B46" s="7">
        <f t="shared" si="2"/>
        <v>3</v>
      </c>
      <c r="E46" s="4">
        <f t="shared" si="1"/>
        <v>0</v>
      </c>
    </row>
    <row r="47" spans="1:5" x14ac:dyDescent="0.25">
      <c r="A47" s="3">
        <f t="shared" si="0"/>
        <v>43873</v>
      </c>
      <c r="B47" s="7">
        <f t="shared" si="2"/>
        <v>3</v>
      </c>
      <c r="E47" s="4">
        <f t="shared" si="1"/>
        <v>0</v>
      </c>
    </row>
    <row r="48" spans="1:5" x14ac:dyDescent="0.25">
      <c r="A48" s="3">
        <f t="shared" si="0"/>
        <v>43874</v>
      </c>
      <c r="B48" s="7">
        <f t="shared" si="2"/>
        <v>3</v>
      </c>
      <c r="E48" s="4">
        <f t="shared" si="1"/>
        <v>0</v>
      </c>
    </row>
    <row r="49" spans="1:5" x14ac:dyDescent="0.25">
      <c r="A49" s="3">
        <f t="shared" si="0"/>
        <v>43875</v>
      </c>
      <c r="B49" s="7">
        <f t="shared" si="2"/>
        <v>3</v>
      </c>
      <c r="E49" s="4">
        <f t="shared" si="1"/>
        <v>0</v>
      </c>
    </row>
    <row r="50" spans="1:5" x14ac:dyDescent="0.25">
      <c r="A50" s="3">
        <f t="shared" si="0"/>
        <v>43876</v>
      </c>
      <c r="B50" s="7">
        <f t="shared" si="2"/>
        <v>3</v>
      </c>
      <c r="E50" s="4">
        <f t="shared" si="1"/>
        <v>0</v>
      </c>
    </row>
    <row r="51" spans="1:5" x14ac:dyDescent="0.25">
      <c r="A51" s="3">
        <f t="shared" si="0"/>
        <v>43877</v>
      </c>
      <c r="B51" s="7">
        <f t="shared" si="2"/>
        <v>3</v>
      </c>
      <c r="E51" s="4">
        <f t="shared" si="1"/>
        <v>0</v>
      </c>
    </row>
    <row r="52" spans="1:5" x14ac:dyDescent="0.25">
      <c r="A52" s="3">
        <f t="shared" si="0"/>
        <v>43878</v>
      </c>
      <c r="B52" s="7">
        <f t="shared" si="2"/>
        <v>3</v>
      </c>
      <c r="E52" s="4">
        <f t="shared" si="1"/>
        <v>0</v>
      </c>
    </row>
    <row r="53" spans="1:5" x14ac:dyDescent="0.25">
      <c r="A53" s="3">
        <f t="shared" si="0"/>
        <v>43879</v>
      </c>
      <c r="B53" s="7">
        <f t="shared" si="2"/>
        <v>3</v>
      </c>
      <c r="E53" s="4">
        <f t="shared" si="1"/>
        <v>0</v>
      </c>
    </row>
    <row r="54" spans="1:5" x14ac:dyDescent="0.25">
      <c r="A54" s="3">
        <f t="shared" si="0"/>
        <v>43880</v>
      </c>
      <c r="B54" s="7">
        <f t="shared" si="2"/>
        <v>3</v>
      </c>
      <c r="E54" s="4">
        <f t="shared" si="1"/>
        <v>0</v>
      </c>
    </row>
    <row r="55" spans="1:5" x14ac:dyDescent="0.25">
      <c r="A55" s="3">
        <f t="shared" si="0"/>
        <v>43881</v>
      </c>
      <c r="B55" s="7">
        <f t="shared" si="2"/>
        <v>3</v>
      </c>
      <c r="E55" s="4">
        <f t="shared" si="1"/>
        <v>0</v>
      </c>
    </row>
    <row r="56" spans="1:5" x14ac:dyDescent="0.25">
      <c r="A56" s="3">
        <f t="shared" si="0"/>
        <v>43882</v>
      </c>
      <c r="B56" s="7">
        <f t="shared" si="2"/>
        <v>3</v>
      </c>
      <c r="E56" s="4">
        <f t="shared" si="1"/>
        <v>0</v>
      </c>
    </row>
    <row r="57" spans="1:5" x14ac:dyDescent="0.25">
      <c r="A57" s="3">
        <f t="shared" si="0"/>
        <v>43883</v>
      </c>
      <c r="B57" s="7">
        <f t="shared" si="2"/>
        <v>3</v>
      </c>
      <c r="E57" s="4">
        <f t="shared" si="1"/>
        <v>0</v>
      </c>
    </row>
    <row r="58" spans="1:5" x14ac:dyDescent="0.25">
      <c r="A58" s="3">
        <f t="shared" si="0"/>
        <v>43884</v>
      </c>
      <c r="B58" s="7">
        <f t="shared" si="2"/>
        <v>4</v>
      </c>
      <c r="C58" s="7">
        <v>1</v>
      </c>
      <c r="E58" s="4">
        <f t="shared" si="1"/>
        <v>0.33333333333333326</v>
      </c>
    </row>
    <row r="59" spans="1:5" x14ac:dyDescent="0.25">
      <c r="A59" s="3">
        <f t="shared" si="0"/>
        <v>43885</v>
      </c>
      <c r="B59" s="7">
        <f t="shared" si="2"/>
        <v>4</v>
      </c>
      <c r="E59" s="4">
        <f t="shared" si="1"/>
        <v>0</v>
      </c>
    </row>
    <row r="60" spans="1:5" x14ac:dyDescent="0.25">
      <c r="A60" s="3">
        <f t="shared" si="0"/>
        <v>43886</v>
      </c>
      <c r="B60" s="7">
        <f t="shared" si="2"/>
        <v>4</v>
      </c>
      <c r="E60" s="4">
        <f t="shared" si="1"/>
        <v>0</v>
      </c>
    </row>
    <row r="61" spans="1:5" x14ac:dyDescent="0.25">
      <c r="A61" s="3">
        <f t="shared" si="0"/>
        <v>43887</v>
      </c>
      <c r="B61" s="7">
        <f t="shared" si="2"/>
        <v>5</v>
      </c>
      <c r="C61" s="7">
        <v>1</v>
      </c>
      <c r="E61" s="4">
        <f t="shared" si="1"/>
        <v>0.25</v>
      </c>
    </row>
    <row r="62" spans="1:5" x14ac:dyDescent="0.25">
      <c r="A62" s="3">
        <f t="shared" si="0"/>
        <v>43888</v>
      </c>
      <c r="B62" s="7">
        <f t="shared" si="2"/>
        <v>6</v>
      </c>
      <c r="C62" s="7">
        <v>1</v>
      </c>
      <c r="E62" s="4">
        <f t="shared" ref="E62:E79" si="3">B62/B61-1</f>
        <v>0.19999999999999996</v>
      </c>
    </row>
    <row r="63" spans="1:5" x14ac:dyDescent="0.25">
      <c r="A63" s="3">
        <f t="shared" si="0"/>
        <v>43889</v>
      </c>
      <c r="B63" s="7">
        <f t="shared" si="2"/>
        <v>7</v>
      </c>
      <c r="C63" s="7">
        <v>1</v>
      </c>
      <c r="E63" s="4">
        <f t="shared" si="3"/>
        <v>0.16666666666666674</v>
      </c>
    </row>
    <row r="64" spans="1:5" x14ac:dyDescent="0.25">
      <c r="A64" s="3">
        <f t="shared" si="0"/>
        <v>43890</v>
      </c>
      <c r="B64" s="7">
        <f t="shared" si="2"/>
        <v>10</v>
      </c>
      <c r="C64" s="7">
        <v>3</v>
      </c>
      <c r="E64" s="4">
        <f t="shared" si="3"/>
        <v>0.4285714285714286</v>
      </c>
    </row>
    <row r="65" spans="1:9" x14ac:dyDescent="0.25">
      <c r="A65" s="3">
        <f t="shared" si="0"/>
        <v>43891</v>
      </c>
      <c r="B65" s="7">
        <f t="shared" si="2"/>
        <v>14</v>
      </c>
      <c r="C65" s="7">
        <v>4</v>
      </c>
      <c r="E65" s="4">
        <f t="shared" si="3"/>
        <v>0.39999999999999991</v>
      </c>
    </row>
    <row r="66" spans="1:9" x14ac:dyDescent="0.25">
      <c r="A66" s="3">
        <f t="shared" si="0"/>
        <v>43892</v>
      </c>
      <c r="B66" s="7">
        <f t="shared" si="2"/>
        <v>17</v>
      </c>
      <c r="C66" s="7">
        <v>3</v>
      </c>
      <c r="E66" s="4">
        <f t="shared" si="3"/>
        <v>0.21428571428571419</v>
      </c>
    </row>
    <row r="67" spans="1:9" x14ac:dyDescent="0.25">
      <c r="A67" s="3">
        <f t="shared" si="0"/>
        <v>43893</v>
      </c>
      <c r="B67" s="7">
        <f t="shared" si="2"/>
        <v>19</v>
      </c>
      <c r="C67" s="7">
        <v>2</v>
      </c>
      <c r="E67" s="4">
        <f t="shared" si="3"/>
        <v>0.11764705882352944</v>
      </c>
    </row>
    <row r="68" spans="1:9" x14ac:dyDescent="0.25">
      <c r="A68" s="3">
        <f t="shared" si="0"/>
        <v>43894</v>
      </c>
      <c r="B68" s="7">
        <f t="shared" si="2"/>
        <v>20</v>
      </c>
      <c r="C68" s="7">
        <v>1</v>
      </c>
      <c r="E68" s="4">
        <f t="shared" si="3"/>
        <v>5.2631578947368363E-2</v>
      </c>
    </row>
    <row r="69" spans="1:9" x14ac:dyDescent="0.25">
      <c r="A69" s="3">
        <f t="shared" si="0"/>
        <v>43895</v>
      </c>
      <c r="B69" s="7">
        <f t="shared" si="2"/>
        <v>22</v>
      </c>
      <c r="C69" s="7">
        <v>2</v>
      </c>
      <c r="E69" s="4">
        <f t="shared" si="3"/>
        <v>0.10000000000000009</v>
      </c>
    </row>
    <row r="70" spans="1:9" x14ac:dyDescent="0.25">
      <c r="A70" s="3">
        <f t="shared" si="0"/>
        <v>43896</v>
      </c>
      <c r="B70" s="7">
        <f t="shared" si="2"/>
        <v>28</v>
      </c>
      <c r="C70" s="7">
        <v>6</v>
      </c>
      <c r="E70" s="4">
        <f t="shared" si="3"/>
        <v>0.27272727272727271</v>
      </c>
    </row>
    <row r="71" spans="1:9" x14ac:dyDescent="0.25">
      <c r="A71" s="3">
        <f t="shared" ref="A71:A134" si="4">A70+1</f>
        <v>43897</v>
      </c>
      <c r="B71" s="7">
        <f t="shared" si="2"/>
        <v>28</v>
      </c>
      <c r="E71" s="4">
        <f t="shared" si="3"/>
        <v>0</v>
      </c>
    </row>
    <row r="72" spans="1:9" x14ac:dyDescent="0.25">
      <c r="A72" s="3">
        <f t="shared" si="4"/>
        <v>43898</v>
      </c>
      <c r="B72" s="7">
        <f t="shared" si="2"/>
        <v>29</v>
      </c>
      <c r="C72" s="7">
        <v>1</v>
      </c>
      <c r="E72" s="4">
        <f t="shared" si="3"/>
        <v>3.5714285714285809E-2</v>
      </c>
    </row>
    <row r="73" spans="1:9" x14ac:dyDescent="0.25">
      <c r="A73" s="3">
        <f t="shared" si="4"/>
        <v>43899</v>
      </c>
      <c r="B73" s="7">
        <f t="shared" si="2"/>
        <v>29</v>
      </c>
      <c r="E73" s="4">
        <f t="shared" si="3"/>
        <v>0</v>
      </c>
    </row>
    <row r="74" spans="1:9" x14ac:dyDescent="0.25">
      <c r="A74" s="3">
        <f t="shared" si="4"/>
        <v>43900</v>
      </c>
      <c r="B74" s="7">
        <f t="shared" si="2"/>
        <v>29</v>
      </c>
      <c r="E74" s="4">
        <f t="shared" si="3"/>
        <v>0</v>
      </c>
    </row>
    <row r="75" spans="1:9" x14ac:dyDescent="0.25">
      <c r="A75" s="3">
        <f t="shared" si="4"/>
        <v>43901</v>
      </c>
      <c r="B75" s="7">
        <v>39</v>
      </c>
      <c r="C75" s="7">
        <v>5</v>
      </c>
      <c r="E75" s="4">
        <f t="shared" si="3"/>
        <v>0.34482758620689657</v>
      </c>
    </row>
    <row r="76" spans="1:9" x14ac:dyDescent="0.25">
      <c r="A76" s="3">
        <f t="shared" si="4"/>
        <v>43902</v>
      </c>
      <c r="B76" s="7">
        <v>59</v>
      </c>
      <c r="C76" s="7">
        <v>20</v>
      </c>
      <c r="E76" s="4">
        <f t="shared" si="3"/>
        <v>0.51282051282051277</v>
      </c>
    </row>
    <row r="77" spans="1:9" x14ac:dyDescent="0.25">
      <c r="A77" s="3">
        <f t="shared" si="4"/>
        <v>43903</v>
      </c>
      <c r="B77" s="7">
        <v>79</v>
      </c>
      <c r="C77" s="7">
        <v>20</v>
      </c>
      <c r="D77">
        <v>74</v>
      </c>
      <c r="E77" s="4">
        <f t="shared" si="3"/>
        <v>0.33898305084745761</v>
      </c>
    </row>
    <row r="78" spans="1:9" x14ac:dyDescent="0.25">
      <c r="A78" s="3">
        <f t="shared" si="4"/>
        <v>43904</v>
      </c>
      <c r="B78" s="7">
        <v>103</v>
      </c>
      <c r="C78" s="7">
        <f>B78-B77</f>
        <v>24</v>
      </c>
      <c r="E78" s="4">
        <f t="shared" si="3"/>
        <v>0.30379746835443044</v>
      </c>
    </row>
    <row r="79" spans="1:9" x14ac:dyDescent="0.25">
      <c r="A79" s="3">
        <f t="shared" si="4"/>
        <v>43905</v>
      </c>
      <c r="B79" s="7">
        <v>142</v>
      </c>
      <c r="C79" s="7">
        <f>B79-B78</f>
        <v>39</v>
      </c>
      <c r="E79" s="4">
        <f t="shared" si="3"/>
        <v>0.37864077669902918</v>
      </c>
    </row>
    <row r="80" spans="1:9" x14ac:dyDescent="0.25">
      <c r="A80" s="28">
        <f t="shared" si="4"/>
        <v>43906</v>
      </c>
      <c r="B80" s="29">
        <v>177</v>
      </c>
      <c r="C80" s="7">
        <f>B80-B79</f>
        <v>35</v>
      </c>
      <c r="E80" s="4">
        <f t="shared" ref="E80:E94" si="5">B80/B79-1</f>
        <v>0.24647887323943651</v>
      </c>
      <c r="H80" s="4">
        <v>0.13</v>
      </c>
      <c r="I80" t="s">
        <v>67</v>
      </c>
    </row>
    <row r="81" spans="1:7" x14ac:dyDescent="0.25">
      <c r="A81" s="28">
        <f t="shared" si="4"/>
        <v>43907</v>
      </c>
      <c r="B81" s="29">
        <v>189</v>
      </c>
      <c r="C81" s="29">
        <f t="shared" ref="C81:C125" si="6">B81-B80</f>
        <v>12</v>
      </c>
      <c r="D81" s="31"/>
      <c r="E81" s="4">
        <f t="shared" si="5"/>
        <v>6.7796610169491567E-2</v>
      </c>
    </row>
    <row r="82" spans="1:7" x14ac:dyDescent="0.25">
      <c r="A82" s="28">
        <f t="shared" si="4"/>
        <v>43908</v>
      </c>
      <c r="B82" s="29">
        <v>214</v>
      </c>
      <c r="C82" s="29">
        <f t="shared" si="6"/>
        <v>25</v>
      </c>
      <c r="D82" s="31"/>
      <c r="E82" s="4">
        <f t="shared" si="5"/>
        <v>0.13227513227513232</v>
      </c>
    </row>
    <row r="83" spans="1:7" x14ac:dyDescent="0.25">
      <c r="A83" s="28">
        <f t="shared" si="4"/>
        <v>43909</v>
      </c>
      <c r="B83" s="29">
        <v>251</v>
      </c>
      <c r="C83" s="29">
        <f t="shared" si="6"/>
        <v>37</v>
      </c>
      <c r="D83" s="31"/>
      <c r="E83" s="4">
        <f t="shared" si="5"/>
        <v>0.17289719626168232</v>
      </c>
      <c r="F83" s="4">
        <f>AVERAGE(E70:E83)</f>
        <v>0.20049705466540196</v>
      </c>
      <c r="G83" t="s">
        <v>101</v>
      </c>
    </row>
    <row r="84" spans="1:7" x14ac:dyDescent="0.25">
      <c r="A84" s="28">
        <f t="shared" si="4"/>
        <v>43910</v>
      </c>
      <c r="B84" s="29">
        <v>311</v>
      </c>
      <c r="C84" s="29">
        <f t="shared" si="6"/>
        <v>60</v>
      </c>
      <c r="D84" s="31"/>
      <c r="E84" s="32">
        <f t="shared" si="5"/>
        <v>0.23904382470119523</v>
      </c>
      <c r="F84" s="4">
        <f>AVERAGE(E71:E84)</f>
        <v>0.19809109409211073</v>
      </c>
    </row>
    <row r="85" spans="1:7" x14ac:dyDescent="0.25">
      <c r="A85" s="28">
        <f t="shared" si="4"/>
        <v>43911</v>
      </c>
      <c r="B85" s="29">
        <v>377</v>
      </c>
      <c r="C85" s="29">
        <f t="shared" si="6"/>
        <v>66</v>
      </c>
      <c r="E85" s="32">
        <f t="shared" si="5"/>
        <v>0.21221864951768499</v>
      </c>
      <c r="F85" s="4">
        <f t="shared" ref="F85:F114" si="7">AVERAGE(E72:E85)</f>
        <v>0.21324956905765965</v>
      </c>
    </row>
    <row r="86" spans="1:7" x14ac:dyDescent="0.25">
      <c r="A86" s="28">
        <f t="shared" si="4"/>
        <v>43912</v>
      </c>
      <c r="B86" s="29">
        <v>425</v>
      </c>
      <c r="C86" s="29">
        <f t="shared" si="6"/>
        <v>48</v>
      </c>
      <c r="E86" s="32">
        <f t="shared" si="5"/>
        <v>0.12732095490716189</v>
      </c>
      <c r="F86" s="4">
        <f t="shared" si="7"/>
        <v>0.21979290257143647</v>
      </c>
    </row>
    <row r="87" spans="1:7" x14ac:dyDescent="0.25">
      <c r="A87" s="28">
        <f t="shared" si="4"/>
        <v>43913</v>
      </c>
      <c r="B87" s="29">
        <v>503</v>
      </c>
      <c r="C87" s="29">
        <f t="shared" si="6"/>
        <v>78</v>
      </c>
      <c r="D87" s="31"/>
      <c r="E87" s="32">
        <f t="shared" si="5"/>
        <v>0.18352941176470594</v>
      </c>
      <c r="F87" s="4">
        <f t="shared" si="7"/>
        <v>0.23290214626891545</v>
      </c>
    </row>
    <row r="88" spans="1:7" x14ac:dyDescent="0.25">
      <c r="A88" s="28">
        <f t="shared" si="4"/>
        <v>43914</v>
      </c>
      <c r="B88" s="29">
        <v>588</v>
      </c>
      <c r="C88" s="29">
        <f t="shared" si="6"/>
        <v>85</v>
      </c>
      <c r="D88" s="31"/>
      <c r="E88" s="32">
        <f t="shared" si="5"/>
        <v>0.16898608349900601</v>
      </c>
      <c r="F88" s="4">
        <f t="shared" si="7"/>
        <v>0.24497258080455872</v>
      </c>
    </row>
    <row r="89" spans="1:7" x14ac:dyDescent="0.25">
      <c r="A89" s="28">
        <f t="shared" si="4"/>
        <v>43915</v>
      </c>
      <c r="B89" s="29">
        <v>688</v>
      </c>
      <c r="C89" s="29">
        <f t="shared" si="6"/>
        <v>100</v>
      </c>
      <c r="E89" s="32">
        <f t="shared" si="5"/>
        <v>0.17006802721088432</v>
      </c>
      <c r="F89" s="4">
        <f t="shared" si="7"/>
        <v>0.23248975516198647</v>
      </c>
    </row>
    <row r="90" spans="1:7" x14ac:dyDescent="0.25">
      <c r="A90" s="28">
        <f t="shared" si="4"/>
        <v>43916</v>
      </c>
      <c r="B90" s="29">
        <v>858</v>
      </c>
      <c r="C90" s="29">
        <f t="shared" si="6"/>
        <v>170</v>
      </c>
      <c r="E90" s="32">
        <f t="shared" si="5"/>
        <v>0.24709302325581395</v>
      </c>
      <c r="F90" s="4">
        <f t="shared" si="7"/>
        <v>0.21350922019307944</v>
      </c>
    </row>
    <row r="91" spans="1:7" x14ac:dyDescent="0.25">
      <c r="A91" s="28">
        <f t="shared" si="4"/>
        <v>43917</v>
      </c>
      <c r="B91" s="29">
        <v>993</v>
      </c>
      <c r="C91" s="29">
        <f t="shared" si="6"/>
        <v>135</v>
      </c>
      <c r="E91" s="32">
        <f t="shared" si="5"/>
        <v>0.15734265734265729</v>
      </c>
      <c r="F91" s="4">
        <f t="shared" si="7"/>
        <v>0.20053490637130805</v>
      </c>
    </row>
    <row r="92" spans="1:7" x14ac:dyDescent="0.25">
      <c r="A92" s="28">
        <f t="shared" si="4"/>
        <v>43918</v>
      </c>
      <c r="B92" s="29">
        <v>1144</v>
      </c>
      <c r="C92" s="29">
        <f t="shared" si="6"/>
        <v>151</v>
      </c>
      <c r="E92" s="32">
        <f t="shared" si="5"/>
        <v>0.15206445115810685</v>
      </c>
      <c r="F92" s="4">
        <f t="shared" si="7"/>
        <v>0.18969683371442775</v>
      </c>
    </row>
    <row r="93" spans="1:7" x14ac:dyDescent="0.25">
      <c r="A93" s="28">
        <f t="shared" si="4"/>
        <v>43919</v>
      </c>
      <c r="B93" s="29">
        <v>1355</v>
      </c>
      <c r="C93" s="29">
        <f t="shared" si="6"/>
        <v>211</v>
      </c>
      <c r="E93" s="32">
        <f t="shared" si="5"/>
        <v>0.18444055944055937</v>
      </c>
      <c r="F93" s="4">
        <f t="shared" si="7"/>
        <v>0.175825389624537</v>
      </c>
    </row>
    <row r="94" spans="1:7" x14ac:dyDescent="0.25">
      <c r="A94" s="28">
        <f t="shared" si="4"/>
        <v>43920</v>
      </c>
      <c r="B94" s="29">
        <v>1966</v>
      </c>
      <c r="C94" s="29">
        <f t="shared" si="6"/>
        <v>611</v>
      </c>
      <c r="E94" s="32">
        <f t="shared" si="5"/>
        <v>0.45092250922509236</v>
      </c>
      <c r="F94" s="4">
        <f t="shared" si="7"/>
        <v>0.19042850648065532</v>
      </c>
    </row>
    <row r="95" spans="1:7" x14ac:dyDescent="0.25">
      <c r="A95" s="28">
        <f t="shared" si="4"/>
        <v>43921</v>
      </c>
      <c r="B95" s="29">
        <f>B94+C95</f>
        <v>2366</v>
      </c>
      <c r="C95" s="29">
        <v>400</v>
      </c>
      <c r="E95" s="32">
        <f t="shared" ref="E95:E114" si="8">B95/B94-1</f>
        <v>0.20345879959308233</v>
      </c>
      <c r="F95" s="4">
        <f t="shared" si="7"/>
        <v>0.20011866286805469</v>
      </c>
    </row>
    <row r="96" spans="1:7" x14ac:dyDescent="0.25">
      <c r="A96" s="28">
        <f t="shared" si="4"/>
        <v>43922</v>
      </c>
      <c r="B96" s="29">
        <v>2793</v>
      </c>
      <c r="C96" s="29">
        <f t="shared" si="6"/>
        <v>427</v>
      </c>
      <c r="E96" s="32">
        <f t="shared" si="8"/>
        <v>0.18047337278106501</v>
      </c>
      <c r="F96" s="4">
        <f t="shared" si="7"/>
        <v>0.20356139433276413</v>
      </c>
    </row>
    <row r="97" spans="1:7" x14ac:dyDescent="0.25">
      <c r="A97" s="28">
        <f t="shared" si="4"/>
        <v>43923</v>
      </c>
      <c r="B97" s="29">
        <v>3255</v>
      </c>
      <c r="C97" s="29">
        <f t="shared" si="6"/>
        <v>462</v>
      </c>
      <c r="E97" s="32">
        <f t="shared" si="8"/>
        <v>0.16541353383458657</v>
      </c>
      <c r="F97" s="4">
        <f t="shared" si="7"/>
        <v>0.203026847016543</v>
      </c>
    </row>
    <row r="98" spans="1:7" x14ac:dyDescent="0.25">
      <c r="A98" s="28">
        <f t="shared" si="4"/>
        <v>43924</v>
      </c>
      <c r="B98" s="29">
        <v>3630</v>
      </c>
      <c r="C98" s="29">
        <f t="shared" si="6"/>
        <v>375</v>
      </c>
      <c r="E98" s="32">
        <f t="shared" si="8"/>
        <v>0.11520737327188946</v>
      </c>
      <c r="F98" s="4">
        <f t="shared" si="7"/>
        <v>0.19418138620016404</v>
      </c>
    </row>
    <row r="99" spans="1:7" x14ac:dyDescent="0.25">
      <c r="A99" s="28">
        <f t="shared" si="4"/>
        <v>43925</v>
      </c>
      <c r="B99" s="29">
        <v>4038</v>
      </c>
      <c r="C99" s="29">
        <f t="shared" si="6"/>
        <v>408</v>
      </c>
      <c r="E99" s="32">
        <f t="shared" si="8"/>
        <v>0.11239669421487597</v>
      </c>
      <c r="F99" s="4">
        <f t="shared" si="7"/>
        <v>0.1870512465356777</v>
      </c>
    </row>
    <row r="100" spans="1:7" x14ac:dyDescent="0.25">
      <c r="A100" s="28">
        <f t="shared" si="4"/>
        <v>43926</v>
      </c>
      <c r="B100" s="29">
        <f>C100+B99</f>
        <v>4188</v>
      </c>
      <c r="C100" s="29">
        <v>150</v>
      </c>
      <c r="E100" s="32">
        <f t="shared" si="8"/>
        <v>3.7147102526003062E-2</v>
      </c>
      <c r="F100" s="4">
        <f t="shared" si="7"/>
        <v>0.1806102570798806</v>
      </c>
    </row>
    <row r="101" spans="1:7" x14ac:dyDescent="0.25">
      <c r="A101" s="28">
        <f t="shared" si="4"/>
        <v>43927</v>
      </c>
      <c r="B101" s="29">
        <v>4347</v>
      </c>
      <c r="C101" s="29">
        <f t="shared" ref="C101:C107" si="9">B101-B100</f>
        <v>159</v>
      </c>
      <c r="E101" s="32">
        <f t="shared" si="8"/>
        <v>3.7965616045845252E-2</v>
      </c>
      <c r="F101" s="4">
        <f t="shared" si="7"/>
        <v>0.17021284309996196</v>
      </c>
    </row>
    <row r="102" spans="1:7" x14ac:dyDescent="0.25">
      <c r="A102" s="28">
        <f t="shared" si="4"/>
        <v>43928</v>
      </c>
      <c r="B102" s="29">
        <v>4726</v>
      </c>
      <c r="C102" s="29">
        <f t="shared" si="9"/>
        <v>379</v>
      </c>
      <c r="E102" s="32">
        <f t="shared" si="8"/>
        <v>8.7186565447435083E-2</v>
      </c>
      <c r="F102" s="4">
        <f t="shared" si="7"/>
        <v>0.16437002038199261</v>
      </c>
    </row>
    <row r="103" spans="1:7" x14ac:dyDescent="0.25">
      <c r="A103" s="28">
        <f t="shared" si="4"/>
        <v>43929</v>
      </c>
      <c r="B103" s="29">
        <v>5250</v>
      </c>
      <c r="C103" s="29">
        <f t="shared" si="9"/>
        <v>524</v>
      </c>
      <c r="E103" s="32">
        <f t="shared" si="8"/>
        <v>0.11087600507829021</v>
      </c>
      <c r="F103" s="4">
        <f t="shared" si="7"/>
        <v>0.16014201880109308</v>
      </c>
    </row>
    <row r="104" spans="1:7" x14ac:dyDescent="0.25">
      <c r="A104" s="28">
        <f t="shared" si="4"/>
        <v>43930</v>
      </c>
      <c r="B104" s="29">
        <v>5759</v>
      </c>
      <c r="C104" s="29">
        <f t="shared" si="9"/>
        <v>509</v>
      </c>
      <c r="E104" s="32">
        <f t="shared" si="8"/>
        <v>9.6952380952380901E-2</v>
      </c>
      <c r="F104" s="4">
        <f t="shared" si="7"/>
        <v>0.1494176872079907</v>
      </c>
    </row>
    <row r="105" spans="1:7" x14ac:dyDescent="0.25">
      <c r="A105" s="28">
        <f t="shared" si="4"/>
        <v>43931</v>
      </c>
      <c r="B105" s="29">
        <v>5900</v>
      </c>
      <c r="C105" s="29">
        <f t="shared" si="9"/>
        <v>141</v>
      </c>
      <c r="E105" s="32">
        <f t="shared" si="8"/>
        <v>2.4483417259940854E-2</v>
      </c>
      <c r="F105" s="4">
        <f t="shared" si="7"/>
        <v>0.13992774148779666</v>
      </c>
    </row>
    <row r="106" spans="1:7" x14ac:dyDescent="0.25">
      <c r="A106" s="28">
        <f t="shared" si="4"/>
        <v>43932</v>
      </c>
      <c r="B106" s="29">
        <v>6500</v>
      </c>
      <c r="C106" s="29">
        <f t="shared" si="9"/>
        <v>600</v>
      </c>
      <c r="E106" s="32">
        <f t="shared" si="8"/>
        <v>0.10169491525423724</v>
      </c>
      <c r="F106" s="4">
        <f t="shared" si="7"/>
        <v>0.13632991749466311</v>
      </c>
    </row>
    <row r="107" spans="1:7" x14ac:dyDescent="0.25">
      <c r="A107" s="28">
        <f t="shared" si="4"/>
        <v>43933</v>
      </c>
      <c r="B107" s="29">
        <v>7049</v>
      </c>
      <c r="C107" s="29">
        <f t="shared" si="9"/>
        <v>549</v>
      </c>
      <c r="E107" s="32">
        <f t="shared" si="8"/>
        <v>8.4461538461538366E-2</v>
      </c>
      <c r="F107" s="4">
        <f t="shared" si="7"/>
        <v>0.12918855885330446</v>
      </c>
    </row>
    <row r="108" spans="1:7" x14ac:dyDescent="0.25">
      <c r="A108" s="28">
        <f t="shared" si="4"/>
        <v>43934</v>
      </c>
      <c r="B108" s="29">
        <v>7800</v>
      </c>
      <c r="C108" s="29">
        <f t="shared" si="6"/>
        <v>751</v>
      </c>
      <c r="E108" s="32">
        <f t="shared" si="8"/>
        <v>0.10653993474251666</v>
      </c>
      <c r="F108" s="4">
        <f t="shared" si="7"/>
        <v>0.1045898035331205</v>
      </c>
    </row>
    <row r="109" spans="1:7" x14ac:dyDescent="0.25">
      <c r="A109" s="28">
        <f t="shared" si="4"/>
        <v>43935</v>
      </c>
      <c r="B109" s="29">
        <v>8100</v>
      </c>
      <c r="C109" s="29">
        <f t="shared" si="6"/>
        <v>300</v>
      </c>
      <c r="E109" s="32">
        <f t="shared" si="8"/>
        <v>3.8461538461538547E-2</v>
      </c>
      <c r="F109" s="4">
        <f t="shared" si="7"/>
        <v>9.2804284880867366E-2</v>
      </c>
      <c r="G109" s="7">
        <f>SUM(C81:C109)</f>
        <v>7923</v>
      </c>
    </row>
    <row r="110" spans="1:7" x14ac:dyDescent="0.25">
      <c r="A110" s="28">
        <f t="shared" si="4"/>
        <v>43936</v>
      </c>
      <c r="B110" s="29">
        <v>8900</v>
      </c>
      <c r="C110" s="29">
        <f t="shared" si="6"/>
        <v>800</v>
      </c>
      <c r="E110" s="32">
        <f t="shared" si="8"/>
        <v>9.8765432098765427E-2</v>
      </c>
      <c r="F110" s="4">
        <f t="shared" si="7"/>
        <v>8.6968003403560257E-2</v>
      </c>
      <c r="G110" s="7">
        <f t="shared" ref="G110:G114" si="10">SUM(C82:C110)</f>
        <v>8711</v>
      </c>
    </row>
    <row r="111" spans="1:7" x14ac:dyDescent="0.25">
      <c r="A111" s="28">
        <f>A110+1</f>
        <v>43937</v>
      </c>
      <c r="B111" s="29">
        <v>9525</v>
      </c>
      <c r="C111" s="29">
        <f t="shared" si="6"/>
        <v>625</v>
      </c>
      <c r="E111" s="32">
        <f t="shared" si="8"/>
        <v>7.02247191011236E-2</v>
      </c>
      <c r="F111" s="4">
        <f t="shared" si="7"/>
        <v>8.0168802351170049E-2</v>
      </c>
      <c r="G111" s="7">
        <f t="shared" si="10"/>
        <v>9311</v>
      </c>
    </row>
    <row r="112" spans="1:7" x14ac:dyDescent="0.25">
      <c r="A112" s="28">
        <f t="shared" si="4"/>
        <v>43938</v>
      </c>
      <c r="B112" s="29">
        <v>10000</v>
      </c>
      <c r="C112" s="29">
        <f t="shared" si="6"/>
        <v>475</v>
      </c>
      <c r="E112" s="32">
        <f t="shared" si="8"/>
        <v>4.986876640419946E-2</v>
      </c>
      <c r="F112" s="4">
        <f t="shared" si="7"/>
        <v>7.55017590034779E-2</v>
      </c>
      <c r="G112" s="7">
        <f t="shared" si="10"/>
        <v>9749</v>
      </c>
    </row>
    <row r="113" spans="1:7" x14ac:dyDescent="0.25">
      <c r="A113" s="28">
        <f t="shared" si="4"/>
        <v>43939</v>
      </c>
      <c r="B113" s="29">
        <v>10750</v>
      </c>
      <c r="C113" s="29">
        <f t="shared" si="6"/>
        <v>750</v>
      </c>
      <c r="E113" s="32">
        <f t="shared" si="8"/>
        <v>7.4999999999999956E-2</v>
      </c>
      <c r="F113" s="4">
        <f t="shared" si="7"/>
        <v>7.2830566559558191E-2</v>
      </c>
      <c r="G113" s="7">
        <f t="shared" si="10"/>
        <v>10439</v>
      </c>
    </row>
    <row r="114" spans="1:7" x14ac:dyDescent="0.25">
      <c r="A114" s="28">
        <f t="shared" si="4"/>
        <v>43940</v>
      </c>
      <c r="B114" s="29">
        <v>11184</v>
      </c>
      <c r="C114" s="29">
        <f t="shared" si="6"/>
        <v>434</v>
      </c>
      <c r="E114" s="32">
        <f t="shared" si="8"/>
        <v>4.0372093023255839E-2</v>
      </c>
      <c r="F114" s="4">
        <f t="shared" si="7"/>
        <v>7.3060923023647667E-2</v>
      </c>
      <c r="G114" s="7">
        <f t="shared" si="10"/>
        <v>10807</v>
      </c>
    </row>
    <row r="115" spans="1:7" x14ac:dyDescent="0.25">
      <c r="A115" s="28">
        <f t="shared" si="4"/>
        <v>43941</v>
      </c>
      <c r="B115" s="29">
        <v>11500</v>
      </c>
      <c r="C115" s="29">
        <f t="shared" ref="C115:C120" si="11">B115-B114</f>
        <v>316</v>
      </c>
      <c r="E115" s="32">
        <f t="shared" ref="E115:E120" si="12">B115/B114-1</f>
        <v>2.8254649499284801E-2</v>
      </c>
      <c r="F115" s="4">
        <f t="shared" ref="F115:F120" si="13">AVERAGE(E102:E115)</f>
        <v>7.2367282556036208E-2</v>
      </c>
    </row>
    <row r="116" spans="1:7" x14ac:dyDescent="0.25">
      <c r="A116" s="28">
        <f t="shared" si="4"/>
        <v>43942</v>
      </c>
      <c r="B116" s="29">
        <v>12000</v>
      </c>
      <c r="C116" s="29">
        <f t="shared" si="11"/>
        <v>500</v>
      </c>
      <c r="E116" s="32">
        <f t="shared" si="12"/>
        <v>4.3478260869565188E-2</v>
      </c>
      <c r="F116" s="4">
        <f t="shared" si="13"/>
        <v>6.9245260800474079E-2</v>
      </c>
    </row>
    <row r="117" spans="1:7" x14ac:dyDescent="0.25">
      <c r="A117" s="28">
        <f t="shared" si="4"/>
        <v>43943</v>
      </c>
      <c r="B117" s="29">
        <v>12500</v>
      </c>
      <c r="C117" s="29">
        <f t="shared" si="11"/>
        <v>500</v>
      </c>
      <c r="E117" s="32">
        <f t="shared" si="12"/>
        <v>4.1666666666666741E-2</v>
      </c>
      <c r="F117" s="4">
        <f t="shared" si="13"/>
        <v>6.4301736628215256E-2</v>
      </c>
    </row>
    <row r="118" spans="1:7" x14ac:dyDescent="0.25">
      <c r="A118" s="28">
        <f t="shared" si="4"/>
        <v>43944</v>
      </c>
      <c r="B118" s="29">
        <v>13000</v>
      </c>
      <c r="C118" s="29">
        <f t="shared" si="11"/>
        <v>500</v>
      </c>
      <c r="E118" s="32">
        <f t="shared" si="12"/>
        <v>4.0000000000000036E-2</v>
      </c>
      <c r="F118" s="4">
        <f t="shared" si="13"/>
        <v>6.0233709417330909E-2</v>
      </c>
    </row>
    <row r="119" spans="1:7" x14ac:dyDescent="0.25">
      <c r="A119" s="28">
        <f t="shared" si="4"/>
        <v>43945</v>
      </c>
      <c r="B119" s="29">
        <v>13500</v>
      </c>
      <c r="C119" s="29">
        <f t="shared" si="11"/>
        <v>500</v>
      </c>
      <c r="E119" s="32">
        <f t="shared" si="12"/>
        <v>3.8461538461538547E-2</v>
      </c>
      <c r="F119" s="4">
        <f t="shared" si="13"/>
        <v>6.1232146646016457E-2</v>
      </c>
    </row>
    <row r="120" spans="1:7" x14ac:dyDescent="0.25">
      <c r="A120" s="28">
        <f t="shared" si="4"/>
        <v>43946</v>
      </c>
      <c r="B120" s="29">
        <v>13995</v>
      </c>
      <c r="C120" s="29">
        <f t="shared" si="11"/>
        <v>495</v>
      </c>
      <c r="E120" s="32">
        <f t="shared" si="12"/>
        <v>3.6666666666666625E-2</v>
      </c>
      <c r="F120" s="4">
        <f t="shared" si="13"/>
        <v>5.6587271746904269E-2</v>
      </c>
    </row>
    <row r="121" spans="1:7" x14ac:dyDescent="0.25">
      <c r="A121" s="5">
        <f t="shared" si="4"/>
        <v>43947</v>
      </c>
      <c r="B121" s="8">
        <f t="shared" ref="B115:B125" ca="1" si="14">B120*(1+E121)</f>
        <v>17493.75</v>
      </c>
      <c r="C121" s="8">
        <f t="shared" ca="1" si="6"/>
        <v>3498.75</v>
      </c>
      <c r="E121" s="6">
        <f t="shared" ref="E115:E156" ca="1" si="15">RANDBETWEEN(10,30)*0.01</f>
        <v>0.25</v>
      </c>
    </row>
    <row r="122" spans="1:7" x14ac:dyDescent="0.25">
      <c r="A122" s="5">
        <f t="shared" si="4"/>
        <v>43948</v>
      </c>
      <c r="B122" s="8">
        <f t="shared" ca="1" si="14"/>
        <v>20292.75</v>
      </c>
      <c r="C122" s="8">
        <f t="shared" ca="1" si="6"/>
        <v>2799</v>
      </c>
      <c r="E122" s="6">
        <f t="shared" ca="1" si="15"/>
        <v>0.16</v>
      </c>
    </row>
    <row r="123" spans="1:7" x14ac:dyDescent="0.25">
      <c r="A123" s="5">
        <f t="shared" si="4"/>
        <v>43949</v>
      </c>
      <c r="B123" s="8">
        <f t="shared" ca="1" si="14"/>
        <v>23539.59</v>
      </c>
      <c r="C123" s="8">
        <f t="shared" ca="1" si="6"/>
        <v>3246.84</v>
      </c>
      <c r="E123" s="6">
        <f t="shared" ca="1" si="15"/>
        <v>0.16</v>
      </c>
    </row>
    <row r="124" spans="1:7" x14ac:dyDescent="0.25">
      <c r="A124" s="5">
        <f t="shared" si="4"/>
        <v>43950</v>
      </c>
      <c r="B124" s="8">
        <f t="shared" ca="1" si="14"/>
        <v>26128.944900000002</v>
      </c>
      <c r="C124" s="8">
        <f t="shared" ca="1" si="6"/>
        <v>2589.3549000000021</v>
      </c>
      <c r="E124" s="6">
        <f t="shared" ca="1" si="15"/>
        <v>0.11</v>
      </c>
    </row>
    <row r="125" spans="1:7" x14ac:dyDescent="0.25">
      <c r="A125" s="5">
        <f t="shared" si="4"/>
        <v>43951</v>
      </c>
      <c r="B125" s="8">
        <f t="shared" ca="1" si="14"/>
        <v>32138.602227000003</v>
      </c>
      <c r="C125" s="8">
        <f t="shared" ca="1" si="6"/>
        <v>6009.6573270000008</v>
      </c>
      <c r="E125" s="6">
        <f t="shared" ca="1" si="15"/>
        <v>0.23</v>
      </c>
    </row>
    <row r="126" spans="1:7" x14ac:dyDescent="0.25">
      <c r="A126" s="5">
        <f t="shared" si="4"/>
        <v>43952</v>
      </c>
      <c r="B126" s="8">
        <f t="shared" ref="B126:B156" ca="1" si="16">B125*(1+E126)</f>
        <v>41137.410850560002</v>
      </c>
      <c r="C126" s="8">
        <f t="shared" ref="C126:C156" ca="1" si="17">B126-B125</f>
        <v>8998.8086235599985</v>
      </c>
      <c r="E126" s="6">
        <f t="shared" ca="1" si="15"/>
        <v>0.28000000000000003</v>
      </c>
    </row>
    <row r="127" spans="1:7" x14ac:dyDescent="0.25">
      <c r="A127" s="5">
        <f t="shared" si="4"/>
        <v>43953</v>
      </c>
      <c r="B127" s="8">
        <f t="shared" ca="1" si="16"/>
        <v>46896.648369638409</v>
      </c>
      <c r="C127" s="8">
        <f t="shared" ca="1" si="17"/>
        <v>5759.2375190784078</v>
      </c>
      <c r="E127" s="6">
        <f t="shared" ca="1" si="15"/>
        <v>0.14000000000000001</v>
      </c>
    </row>
    <row r="128" spans="1:7" x14ac:dyDescent="0.25">
      <c r="A128" s="5">
        <f t="shared" si="4"/>
        <v>43954</v>
      </c>
      <c r="B128" s="8">
        <f t="shared" ca="1" si="16"/>
        <v>58151.84397835163</v>
      </c>
      <c r="C128" s="8">
        <f t="shared" ca="1" si="17"/>
        <v>11255.19560871322</v>
      </c>
      <c r="E128" s="6">
        <f t="shared" ca="1" si="15"/>
        <v>0.24</v>
      </c>
    </row>
    <row r="129" spans="1:5" x14ac:dyDescent="0.25">
      <c r="A129" s="5">
        <f t="shared" si="4"/>
        <v>43955</v>
      </c>
      <c r="B129" s="8">
        <f t="shared" ca="1" si="16"/>
        <v>64548.546815970316</v>
      </c>
      <c r="C129" s="8">
        <f t="shared" ca="1" si="17"/>
        <v>6396.7028376186863</v>
      </c>
      <c r="E129" s="6">
        <f t="shared" ca="1" si="15"/>
        <v>0.11</v>
      </c>
    </row>
    <row r="130" spans="1:5" x14ac:dyDescent="0.25">
      <c r="A130" s="5">
        <f t="shared" si="4"/>
        <v>43956</v>
      </c>
      <c r="B130" s="8">
        <f t="shared" ca="1" si="16"/>
        <v>78103.741647324074</v>
      </c>
      <c r="C130" s="8">
        <f t="shared" ca="1" si="17"/>
        <v>13555.194831353758</v>
      </c>
      <c r="E130" s="6">
        <f t="shared" ca="1" si="15"/>
        <v>0.21</v>
      </c>
    </row>
    <row r="131" spans="1:5" x14ac:dyDescent="0.25">
      <c r="A131" s="5">
        <f t="shared" si="4"/>
        <v>43957</v>
      </c>
      <c r="B131" s="8">
        <f t="shared" ca="1" si="16"/>
        <v>96848.639642681854</v>
      </c>
      <c r="C131" s="8">
        <f t="shared" ca="1" si="17"/>
        <v>18744.89799535778</v>
      </c>
      <c r="E131" s="6">
        <f t="shared" ca="1" si="15"/>
        <v>0.24</v>
      </c>
    </row>
    <row r="132" spans="1:5" x14ac:dyDescent="0.25">
      <c r="A132" s="5">
        <f t="shared" si="4"/>
        <v>43958</v>
      </c>
      <c r="B132" s="8">
        <f t="shared" ca="1" si="16"/>
        <v>114281.39477836459</v>
      </c>
      <c r="C132" s="8">
        <f t="shared" ca="1" si="17"/>
        <v>17432.755135682732</v>
      </c>
      <c r="E132" s="6">
        <f t="shared" ca="1" si="15"/>
        <v>0.18</v>
      </c>
    </row>
    <row r="133" spans="1:5" x14ac:dyDescent="0.25">
      <c r="A133" s="5">
        <f t="shared" si="4"/>
        <v>43959</v>
      </c>
      <c r="B133" s="8">
        <f t="shared" ca="1" si="16"/>
        <v>134852.04583847019</v>
      </c>
      <c r="C133" s="8">
        <f t="shared" ca="1" si="17"/>
        <v>20570.651060105607</v>
      </c>
      <c r="E133" s="6">
        <f t="shared" ca="1" si="15"/>
        <v>0.18</v>
      </c>
    </row>
    <row r="134" spans="1:5" x14ac:dyDescent="0.25">
      <c r="A134" s="5">
        <f t="shared" si="4"/>
        <v>43960</v>
      </c>
      <c r="B134" s="8">
        <f t="shared" ca="1" si="16"/>
        <v>167216.53683970304</v>
      </c>
      <c r="C134" s="8">
        <f t="shared" ca="1" si="17"/>
        <v>32364.491001232847</v>
      </c>
      <c r="E134" s="6">
        <f t="shared" ca="1" si="15"/>
        <v>0.24</v>
      </c>
    </row>
    <row r="135" spans="1:5" x14ac:dyDescent="0.25">
      <c r="A135" s="5">
        <f t="shared" ref="A135:A156" si="18">A134+1</f>
        <v>43961</v>
      </c>
      <c r="B135" s="8">
        <f t="shared" ca="1" si="16"/>
        <v>195643.34810245255</v>
      </c>
      <c r="C135" s="8">
        <f t="shared" ca="1" si="17"/>
        <v>28426.811262749514</v>
      </c>
      <c r="E135" s="6">
        <f t="shared" ca="1" si="15"/>
        <v>0.17</v>
      </c>
    </row>
    <row r="136" spans="1:5" x14ac:dyDescent="0.25">
      <c r="A136" s="5">
        <f t="shared" si="18"/>
        <v>43962</v>
      </c>
      <c r="B136" s="8">
        <f t="shared" ca="1" si="16"/>
        <v>223033.41683679592</v>
      </c>
      <c r="C136" s="8">
        <f t="shared" ca="1" si="17"/>
        <v>27390.068734343367</v>
      </c>
      <c r="E136" s="6">
        <f t="shared" ca="1" si="15"/>
        <v>0.14000000000000001</v>
      </c>
    </row>
    <row r="137" spans="1:5" x14ac:dyDescent="0.25">
      <c r="A137" s="5">
        <f t="shared" si="18"/>
        <v>43963</v>
      </c>
      <c r="B137" s="8">
        <f t="shared" ca="1" si="16"/>
        <v>252027.76102557936</v>
      </c>
      <c r="C137" s="8">
        <f t="shared" ca="1" si="17"/>
        <v>28994.344188783434</v>
      </c>
      <c r="E137" s="6">
        <f t="shared" ca="1" si="15"/>
        <v>0.13</v>
      </c>
    </row>
    <row r="138" spans="1:5" x14ac:dyDescent="0.25">
      <c r="A138" s="5">
        <f t="shared" si="18"/>
        <v>43964</v>
      </c>
      <c r="B138" s="8">
        <f t="shared" ca="1" si="16"/>
        <v>299913.03562043939</v>
      </c>
      <c r="C138" s="8">
        <f t="shared" ca="1" si="17"/>
        <v>47885.274594860035</v>
      </c>
      <c r="E138" s="6">
        <f t="shared" ca="1" si="15"/>
        <v>0.19</v>
      </c>
    </row>
    <row r="139" spans="1:5" x14ac:dyDescent="0.25">
      <c r="A139" s="5">
        <f t="shared" si="18"/>
        <v>43965</v>
      </c>
      <c r="B139" s="8">
        <f t="shared" ca="1" si="16"/>
        <v>332903.46953868773</v>
      </c>
      <c r="C139" s="8">
        <f t="shared" ca="1" si="17"/>
        <v>32990.433918248338</v>
      </c>
      <c r="E139" s="6">
        <f t="shared" ca="1" si="15"/>
        <v>0.11</v>
      </c>
    </row>
    <row r="140" spans="1:5" x14ac:dyDescent="0.25">
      <c r="A140" s="5">
        <f t="shared" si="18"/>
        <v>43966</v>
      </c>
      <c r="B140" s="8">
        <f t="shared" ca="1" si="16"/>
        <v>386168.02466487774</v>
      </c>
      <c r="C140" s="8">
        <f t="shared" ca="1" si="17"/>
        <v>53264.555126190011</v>
      </c>
      <c r="E140" s="6">
        <f t="shared" ca="1" si="15"/>
        <v>0.16</v>
      </c>
    </row>
    <row r="141" spans="1:5" x14ac:dyDescent="0.25">
      <c r="A141" s="5">
        <f t="shared" si="18"/>
        <v>43967</v>
      </c>
      <c r="B141" s="8">
        <f t="shared" ca="1" si="16"/>
        <v>471124.99009115086</v>
      </c>
      <c r="C141" s="8">
        <f t="shared" ca="1" si="17"/>
        <v>84956.96542627312</v>
      </c>
      <c r="E141" s="6">
        <f t="shared" ca="1" si="15"/>
        <v>0.22</v>
      </c>
    </row>
    <row r="142" spans="1:5" x14ac:dyDescent="0.25">
      <c r="A142" s="5">
        <f t="shared" si="18"/>
        <v>43968</v>
      </c>
      <c r="B142" s="8">
        <f t="shared" ca="1" si="16"/>
        <v>598328.73741576157</v>
      </c>
      <c r="C142" s="8">
        <f t="shared" ca="1" si="17"/>
        <v>127203.74732461071</v>
      </c>
      <c r="E142" s="6">
        <f t="shared" ca="1" si="15"/>
        <v>0.27</v>
      </c>
    </row>
    <row r="143" spans="1:5" x14ac:dyDescent="0.25">
      <c r="A143" s="5">
        <f t="shared" si="18"/>
        <v>43969</v>
      </c>
      <c r="B143" s="8">
        <f t="shared" ca="1" si="16"/>
        <v>729961.05964722915</v>
      </c>
      <c r="C143" s="8">
        <f t="shared" ca="1" si="17"/>
        <v>131632.32223146758</v>
      </c>
      <c r="E143" s="6">
        <f t="shared" ca="1" si="15"/>
        <v>0.22</v>
      </c>
    </row>
    <row r="144" spans="1:5" x14ac:dyDescent="0.25">
      <c r="A144" s="5">
        <f t="shared" si="18"/>
        <v>43970</v>
      </c>
      <c r="B144" s="8">
        <f t="shared" ca="1" si="16"/>
        <v>948949.37754139793</v>
      </c>
      <c r="C144" s="8">
        <f t="shared" ca="1" si="17"/>
        <v>218988.31789416878</v>
      </c>
      <c r="E144" s="6">
        <f t="shared" ca="1" si="15"/>
        <v>0.3</v>
      </c>
    </row>
    <row r="145" spans="1:5" x14ac:dyDescent="0.25">
      <c r="A145" s="5">
        <f t="shared" si="18"/>
        <v>43971</v>
      </c>
      <c r="B145" s="8">
        <f t="shared" ca="1" si="16"/>
        <v>1138739.2530496775</v>
      </c>
      <c r="C145" s="8">
        <f t="shared" ca="1" si="17"/>
        <v>189789.87550827954</v>
      </c>
      <c r="E145" s="6">
        <f t="shared" ca="1" si="15"/>
        <v>0.2</v>
      </c>
    </row>
    <row r="146" spans="1:5" x14ac:dyDescent="0.25">
      <c r="A146" s="5">
        <f t="shared" si="18"/>
        <v>43972</v>
      </c>
      <c r="B146" s="8">
        <f t="shared" ca="1" si="16"/>
        <v>1468973.636434084</v>
      </c>
      <c r="C146" s="8">
        <f t="shared" ca="1" si="17"/>
        <v>330234.38338440657</v>
      </c>
      <c r="E146" s="6">
        <f t="shared" ca="1" si="15"/>
        <v>0.28999999999999998</v>
      </c>
    </row>
    <row r="147" spans="1:5" x14ac:dyDescent="0.25">
      <c r="A147" s="5">
        <f t="shared" si="18"/>
        <v>43973</v>
      </c>
      <c r="B147" s="8">
        <f t="shared" ca="1" si="16"/>
        <v>1704009.4182635373</v>
      </c>
      <c r="C147" s="8">
        <f t="shared" ca="1" si="17"/>
        <v>235035.78182945331</v>
      </c>
      <c r="E147" s="6">
        <f t="shared" ca="1" si="15"/>
        <v>0.16</v>
      </c>
    </row>
    <row r="148" spans="1:5" x14ac:dyDescent="0.25">
      <c r="A148" s="5">
        <f t="shared" si="18"/>
        <v>43974</v>
      </c>
      <c r="B148" s="8">
        <f t="shared" ca="1" si="16"/>
        <v>2198172.149559963</v>
      </c>
      <c r="C148" s="8">
        <f t="shared" ca="1" si="17"/>
        <v>494162.73129642569</v>
      </c>
      <c r="E148" s="6">
        <f t="shared" ca="1" si="15"/>
        <v>0.28999999999999998</v>
      </c>
    </row>
    <row r="149" spans="1:5" x14ac:dyDescent="0.25">
      <c r="A149" s="5">
        <f t="shared" si="18"/>
        <v>43975</v>
      </c>
      <c r="B149" s="8">
        <f t="shared" ca="1" si="16"/>
        <v>2615824.8579763561</v>
      </c>
      <c r="C149" s="8">
        <f t="shared" ca="1" si="17"/>
        <v>417652.70841639303</v>
      </c>
      <c r="E149" s="6">
        <f t="shared" ca="1" si="15"/>
        <v>0.19</v>
      </c>
    </row>
    <row r="150" spans="1:5" x14ac:dyDescent="0.25">
      <c r="A150" s="5">
        <f t="shared" si="18"/>
        <v>43976</v>
      </c>
      <c r="B150" s="8">
        <f t="shared" ca="1" si="16"/>
        <v>3191306.3267311542</v>
      </c>
      <c r="C150" s="8">
        <f t="shared" ca="1" si="17"/>
        <v>575481.46875479817</v>
      </c>
      <c r="E150" s="6">
        <f t="shared" ca="1" si="15"/>
        <v>0.22</v>
      </c>
    </row>
    <row r="151" spans="1:5" x14ac:dyDescent="0.25">
      <c r="A151" s="5">
        <f t="shared" si="18"/>
        <v>43977</v>
      </c>
      <c r="B151" s="8">
        <f t="shared" ca="1" si="16"/>
        <v>3893393.7186120083</v>
      </c>
      <c r="C151" s="8">
        <f t="shared" ca="1" si="17"/>
        <v>702087.39188085403</v>
      </c>
      <c r="E151" s="6">
        <f t="shared" ca="1" si="15"/>
        <v>0.22</v>
      </c>
    </row>
    <row r="152" spans="1:5" x14ac:dyDescent="0.25">
      <c r="A152" s="5">
        <f t="shared" si="18"/>
        <v>43978</v>
      </c>
      <c r="B152" s="8">
        <f t="shared" ca="1" si="16"/>
        <v>4282733.0904732095</v>
      </c>
      <c r="C152" s="8">
        <f t="shared" ca="1" si="17"/>
        <v>389339.37186120125</v>
      </c>
      <c r="E152" s="6">
        <f t="shared" ca="1" si="15"/>
        <v>0.1</v>
      </c>
    </row>
    <row r="153" spans="1:5" x14ac:dyDescent="0.25">
      <c r="A153" s="5">
        <f t="shared" si="18"/>
        <v>43979</v>
      </c>
      <c r="B153" s="8">
        <f t="shared" ca="1" si="16"/>
        <v>5310589.0321867801</v>
      </c>
      <c r="C153" s="8">
        <f t="shared" ca="1" si="17"/>
        <v>1027855.9417135706</v>
      </c>
      <c r="E153" s="6">
        <f t="shared" ca="1" si="15"/>
        <v>0.24</v>
      </c>
    </row>
    <row r="154" spans="1:5" x14ac:dyDescent="0.25">
      <c r="A154" s="5">
        <f t="shared" si="18"/>
        <v>43980</v>
      </c>
      <c r="B154" s="8">
        <f t="shared" ca="1" si="16"/>
        <v>5947859.7160491943</v>
      </c>
      <c r="C154" s="8">
        <f t="shared" ca="1" si="17"/>
        <v>637270.68386241421</v>
      </c>
      <c r="E154" s="6">
        <f t="shared" ca="1" si="15"/>
        <v>0.12</v>
      </c>
    </row>
    <row r="155" spans="1:5" x14ac:dyDescent="0.25">
      <c r="A155" s="5">
        <f t="shared" si="18"/>
        <v>43981</v>
      </c>
      <c r="B155" s="8">
        <f t="shared" ca="1" si="16"/>
        <v>7256388.8535800166</v>
      </c>
      <c r="C155" s="8">
        <f t="shared" ca="1" si="17"/>
        <v>1308529.1375308223</v>
      </c>
      <c r="E155" s="6">
        <f t="shared" ca="1" si="15"/>
        <v>0.22</v>
      </c>
    </row>
    <row r="156" spans="1:5" x14ac:dyDescent="0.25">
      <c r="A156" s="5">
        <f t="shared" si="18"/>
        <v>43982</v>
      </c>
      <c r="B156" s="8">
        <f t="shared" ca="1" si="16"/>
        <v>9433305.5096540228</v>
      </c>
      <c r="C156" s="8">
        <f t="shared" ca="1" si="17"/>
        <v>2176916.6560740061</v>
      </c>
      <c r="E156" s="6">
        <f t="shared" ca="1" si="15"/>
        <v>0.3</v>
      </c>
    </row>
    <row r="157" spans="1:5" x14ac:dyDescent="0.25">
      <c r="A157" s="5"/>
      <c r="B157" s="8"/>
      <c r="C157" s="8"/>
      <c r="E157" s="6"/>
    </row>
    <row r="158" spans="1:5" x14ac:dyDescent="0.25">
      <c r="A158" s="5"/>
      <c r="B158" s="8"/>
      <c r="C158" s="8"/>
      <c r="E158" s="6"/>
    </row>
    <row r="159" spans="1:5" x14ac:dyDescent="0.25">
      <c r="A159" s="5"/>
      <c r="B159" s="8"/>
      <c r="C159" s="8"/>
      <c r="E159" s="6"/>
    </row>
    <row r="160" spans="1:5" x14ac:dyDescent="0.25">
      <c r="A160" s="5"/>
      <c r="B160" s="8"/>
      <c r="C160" s="8"/>
      <c r="E160" s="6"/>
    </row>
    <row r="161" spans="1:5" x14ac:dyDescent="0.25">
      <c r="A161" s="5"/>
      <c r="B161" s="8"/>
      <c r="C161" s="8"/>
      <c r="E161" s="6"/>
    </row>
    <row r="162" spans="1:5" x14ac:dyDescent="0.25">
      <c r="A162" s="5"/>
      <c r="B162" s="8"/>
      <c r="C162" s="8"/>
      <c r="E162" s="6"/>
    </row>
    <row r="163" spans="1:5" x14ac:dyDescent="0.25">
      <c r="A163" s="5"/>
      <c r="B163" s="8"/>
      <c r="C163" s="8"/>
      <c r="E163" s="6"/>
    </row>
  </sheetData>
  <hyperlinks>
    <hyperlink ref="B3" r:id="rId1" xr:uid="{4C01CBD5-8D0B-4573-BA90-A9E6D3B9C5A6}"/>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348A-7E10-43AA-9780-351E23919146}">
  <sheetPr codeName="Sheet10"/>
  <dimension ref="A1:P94"/>
  <sheetViews>
    <sheetView workbookViewId="0">
      <selection activeCell="B4" sqref="B4:O4"/>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6" bestFit="1" customWidth="1"/>
  </cols>
  <sheetData>
    <row r="1" spans="1:16" x14ac:dyDescent="0.25">
      <c r="A1" s="26">
        <v>43913</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129</v>
      </c>
      <c r="C4" s="54">
        <v>69</v>
      </c>
      <c r="D4" s="54">
        <v>54</v>
      </c>
      <c r="E4" s="54">
        <v>54</v>
      </c>
      <c r="F4" s="54">
        <v>64</v>
      </c>
      <c r="G4" s="54">
        <v>64</v>
      </c>
      <c r="H4" s="54">
        <v>54</v>
      </c>
      <c r="I4" s="54">
        <v>60</v>
      </c>
      <c r="J4" s="54">
        <v>35</v>
      </c>
      <c r="K4" s="57">
        <v>35</v>
      </c>
      <c r="L4" s="62">
        <v>60</v>
      </c>
      <c r="M4" s="54">
        <v>60</v>
      </c>
      <c r="N4" s="54">
        <v>60</v>
      </c>
      <c r="O4" s="67">
        <v>20</v>
      </c>
    </row>
    <row r="5" spans="1:16" x14ac:dyDescent="0.25">
      <c r="A5" s="48" t="s">
        <v>33</v>
      </c>
      <c r="B5" s="48"/>
      <c r="C5" s="48"/>
      <c r="D5" s="48"/>
      <c r="E5" s="48"/>
      <c r="F5" s="48"/>
      <c r="G5" s="48"/>
      <c r="H5" s="48"/>
      <c r="I5" s="48"/>
      <c r="J5" s="48"/>
      <c r="K5" s="55"/>
      <c r="L5" s="60"/>
      <c r="M5" s="48"/>
      <c r="N5" s="48"/>
      <c r="O5" s="67"/>
    </row>
    <row r="6" spans="1:16" x14ac:dyDescent="0.25">
      <c r="A6" s="48" t="s">
        <v>32</v>
      </c>
      <c r="B6" s="43">
        <v>142823000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81747</v>
      </c>
      <c r="C9" s="54">
        <v>1128</v>
      </c>
      <c r="D9" s="54">
        <v>63927</v>
      </c>
      <c r="E9" s="54">
        <v>33089</v>
      </c>
      <c r="F9" s="54">
        <v>42164</v>
      </c>
      <c r="G9" s="54">
        <v>9037</v>
      </c>
      <c r="H9" s="54">
        <v>6654</v>
      </c>
      <c r="I9" s="54">
        <v>1709</v>
      </c>
      <c r="J9" s="54">
        <v>23049</v>
      </c>
      <c r="K9" s="57">
        <v>19615</v>
      </c>
      <c r="L9" s="62">
        <v>1959</v>
      </c>
      <c r="M9" s="54">
        <v>588</v>
      </c>
      <c r="N9" s="54">
        <v>280</v>
      </c>
      <c r="O9" s="67">
        <v>32</v>
      </c>
      <c r="P9" s="1"/>
    </row>
    <row r="10" spans="1:16" x14ac:dyDescent="0.25">
      <c r="A10" s="48" t="s">
        <v>34</v>
      </c>
      <c r="B10" s="54"/>
      <c r="C10" s="54"/>
      <c r="D10" s="54"/>
      <c r="E10" s="54"/>
      <c r="F10" s="54"/>
      <c r="G10" s="54"/>
      <c r="H10" s="54"/>
      <c r="I10" s="54"/>
      <c r="J10" s="54"/>
      <c r="K10" s="57"/>
      <c r="L10" s="62"/>
      <c r="M10" s="54"/>
      <c r="N10" s="54"/>
      <c r="O10" s="67"/>
    </row>
    <row r="11" spans="1:16" x14ac:dyDescent="0.25">
      <c r="A11" s="48" t="s">
        <v>35</v>
      </c>
      <c r="B11" s="54">
        <v>3283</v>
      </c>
      <c r="C11" s="54">
        <v>42</v>
      </c>
      <c r="D11" s="54">
        <v>6077</v>
      </c>
      <c r="E11" s="54">
        <v>2182</v>
      </c>
      <c r="F11" s="54">
        <v>471</v>
      </c>
      <c r="G11" s="54">
        <v>120</v>
      </c>
      <c r="H11" s="54">
        <v>335</v>
      </c>
      <c r="I11" s="54">
        <v>7</v>
      </c>
      <c r="J11" s="54">
        <v>1812</v>
      </c>
      <c r="K11" s="57">
        <v>860</v>
      </c>
      <c r="L11" s="62">
        <v>27</v>
      </c>
      <c r="M11" s="54">
        <v>4</v>
      </c>
      <c r="N11" s="54">
        <v>1</v>
      </c>
      <c r="O11" s="67">
        <v>0</v>
      </c>
    </row>
    <row r="13" spans="1:16" x14ac:dyDescent="0.25">
      <c r="A13" s="48" t="s">
        <v>36</v>
      </c>
      <c r="B13" s="48"/>
      <c r="C13" s="48"/>
      <c r="D13" s="48"/>
      <c r="E13" s="48"/>
      <c r="F13" s="48"/>
      <c r="G13" s="48"/>
      <c r="H13" s="48"/>
      <c r="I13" s="48"/>
      <c r="J13" s="48"/>
      <c r="K13" s="48"/>
      <c r="L13" s="48"/>
      <c r="M13" s="48"/>
      <c r="N13" s="48"/>
      <c r="O13" s="48"/>
    </row>
    <row r="14" spans="1:16" x14ac:dyDescent="0.25">
      <c r="A14" s="48" t="s">
        <v>34</v>
      </c>
      <c r="B14" s="48"/>
      <c r="C14" s="48"/>
      <c r="D14" s="48"/>
      <c r="E14" s="48"/>
      <c r="F14" s="48"/>
      <c r="G14" s="48"/>
      <c r="H14" s="48"/>
      <c r="I14" s="48"/>
      <c r="J14" s="48"/>
      <c r="K14" s="48"/>
      <c r="L14" s="48"/>
      <c r="M14" s="48"/>
      <c r="N14" s="48"/>
      <c r="O14" s="48"/>
    </row>
    <row r="15" spans="1:16" x14ac:dyDescent="0.25">
      <c r="A15" s="48" t="s">
        <v>35</v>
      </c>
      <c r="B15" s="71">
        <f>B11/B9</f>
        <v>4.0160495186367696E-2</v>
      </c>
      <c r="C15" s="71">
        <f t="shared" ref="C15:O15" si="0">C11/C9</f>
        <v>3.7234042553191488E-2</v>
      </c>
      <c r="D15" s="71">
        <f t="shared" si="0"/>
        <v>9.5061554585699315E-2</v>
      </c>
      <c r="E15" s="71">
        <f t="shared" si="0"/>
        <v>6.5943364864456469E-2</v>
      </c>
      <c r="F15" s="71">
        <f t="shared" si="0"/>
        <v>1.1170666919647092E-2</v>
      </c>
      <c r="G15" s="71">
        <f t="shared" si="0"/>
        <v>1.3278742945667809E-2</v>
      </c>
      <c r="H15" s="71">
        <f t="shared" si="0"/>
        <v>5.0345656747820856E-2</v>
      </c>
      <c r="I15" s="71">
        <f t="shared" si="0"/>
        <v>4.0959625511995321E-3</v>
      </c>
      <c r="J15" s="71">
        <f t="shared" si="0"/>
        <v>7.8615124300403488E-2</v>
      </c>
      <c r="K15" s="71">
        <f t="shared" si="0"/>
        <v>4.3843996941116493E-2</v>
      </c>
      <c r="L15" s="71">
        <f t="shared" si="0"/>
        <v>1.3782542113323124E-2</v>
      </c>
      <c r="M15" s="71">
        <f t="shared" si="0"/>
        <v>6.8027210884353739E-3</v>
      </c>
      <c r="N15" s="71">
        <f t="shared" si="0"/>
        <v>3.5714285714285713E-3</v>
      </c>
      <c r="O15" s="7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s="48" t="s">
        <v>58</v>
      </c>
      <c r="B18" s="72">
        <v>0.15</v>
      </c>
      <c r="C18" s="72"/>
      <c r="D18" s="72">
        <v>0.56000000000000005</v>
      </c>
      <c r="E18" s="72"/>
      <c r="F18" s="72"/>
      <c r="G18" s="72"/>
      <c r="H18" s="72"/>
      <c r="I18" s="72"/>
      <c r="J18" s="72"/>
      <c r="K18" s="72"/>
      <c r="L18" s="72">
        <v>0.13</v>
      </c>
      <c r="M18" s="72"/>
      <c r="N18" s="72">
        <v>6.4000000000000001E-2</v>
      </c>
      <c r="O18" s="73"/>
    </row>
    <row r="19" spans="1:15" x14ac:dyDescent="0.25">
      <c r="A19" s="48" t="s">
        <v>59</v>
      </c>
      <c r="B19" s="72">
        <v>0.05</v>
      </c>
      <c r="C19" s="72"/>
      <c r="D19" s="72">
        <v>0.1</v>
      </c>
      <c r="E19" s="72"/>
      <c r="F19" s="72"/>
      <c r="G19" s="72"/>
      <c r="H19" s="72"/>
      <c r="I19" s="72"/>
      <c r="J19" s="72"/>
      <c r="K19" s="72"/>
      <c r="L19" s="72"/>
      <c r="M19" s="72"/>
      <c r="N19" s="72">
        <v>0.04</v>
      </c>
      <c r="O19" s="73"/>
    </row>
    <row r="20" spans="1:15" x14ac:dyDescent="0.25">
      <c r="B20" s="1"/>
      <c r="C20" s="1"/>
      <c r="D20" s="1"/>
      <c r="E20" s="1"/>
      <c r="F20" s="1"/>
      <c r="G20" s="1"/>
      <c r="H20" s="1"/>
      <c r="I20" s="1"/>
      <c r="J20" s="1"/>
      <c r="K20" s="1"/>
      <c r="L20" s="1"/>
      <c r="M20" s="1"/>
      <c r="N20" s="48" t="s">
        <v>121</v>
      </c>
    </row>
    <row r="22" spans="1:15" x14ac:dyDescent="0.25">
      <c r="A22" t="s">
        <v>42</v>
      </c>
    </row>
    <row r="23" spans="1:15" x14ac:dyDescent="0.25">
      <c r="A23" s="48" t="s">
        <v>41</v>
      </c>
      <c r="B23" s="66">
        <f t="shared" ref="B23:O23" si="1">B9/B6*100000</f>
        <v>57.236579542510654</v>
      </c>
      <c r="C23" s="66">
        <f t="shared" si="1"/>
        <v>0.88958990536277593</v>
      </c>
      <c r="D23" s="66">
        <f t="shared" si="1"/>
        <v>105.69940476190477</v>
      </c>
      <c r="E23" s="66">
        <f t="shared" si="1"/>
        <v>70.915130732961856</v>
      </c>
      <c r="F23" s="66">
        <f t="shared" si="1"/>
        <v>12.886308068459657</v>
      </c>
      <c r="G23" s="66">
        <f t="shared" si="1"/>
        <v>17.557800660578977</v>
      </c>
      <c r="H23" s="66">
        <f t="shared" si="1"/>
        <v>10.015051173991571</v>
      </c>
      <c r="I23" s="66">
        <f t="shared" si="1"/>
        <v>6.9471544715447155</v>
      </c>
      <c r="J23" s="66">
        <f t="shared" si="1"/>
        <v>28.399457861015279</v>
      </c>
      <c r="K23" s="66">
        <f t="shared" si="1"/>
        <v>29.280489625317212</v>
      </c>
      <c r="L23" s="66">
        <f t="shared" si="1"/>
        <v>5.2114924181963289</v>
      </c>
      <c r="M23" s="66">
        <f t="shared" si="1"/>
        <v>4.0110191153710986</v>
      </c>
      <c r="N23" s="66">
        <f t="shared" si="1"/>
        <v>9.5563139931740615</v>
      </c>
      <c r="O23" s="66">
        <f t="shared" si="1"/>
        <v>5.7896074736595473</v>
      </c>
    </row>
    <row r="24" spans="1:15" x14ac:dyDescent="0.25">
      <c r="A24" s="48" t="s">
        <v>34</v>
      </c>
      <c r="B24" s="65"/>
      <c r="C24" s="65"/>
      <c r="D24" s="65"/>
      <c r="E24" s="65"/>
      <c r="F24" s="65"/>
      <c r="G24" s="65"/>
      <c r="H24" s="65"/>
      <c r="I24" s="65"/>
      <c r="J24" s="65"/>
      <c r="K24" s="65"/>
      <c r="L24" s="65"/>
      <c r="M24" s="65"/>
      <c r="N24" s="65"/>
      <c r="O24" s="65"/>
    </row>
    <row r="25" spans="1:15" x14ac:dyDescent="0.25">
      <c r="A25" s="48" t="s">
        <v>35</v>
      </c>
      <c r="B25" s="66">
        <f>B11/B6*100000</f>
        <v>2.2986493772011514</v>
      </c>
      <c r="C25" s="66">
        <f t="shared" ref="C25:O25" si="2">C11/C6*100000</f>
        <v>3.3123028391167195E-2</v>
      </c>
      <c r="D25" s="66">
        <f t="shared" si="2"/>
        <v>10.047949735449736</v>
      </c>
      <c r="E25" s="66">
        <f t="shared" si="2"/>
        <v>4.6763823403343334</v>
      </c>
      <c r="F25" s="66">
        <f t="shared" si="2"/>
        <v>0.14394865525672371</v>
      </c>
      <c r="G25" s="66">
        <f t="shared" si="2"/>
        <v>0.23314552166310473</v>
      </c>
      <c r="H25" s="66">
        <f t="shared" si="2"/>
        <v>0.50421432871764005</v>
      </c>
      <c r="I25" s="66">
        <f t="shared" si="2"/>
        <v>2.8455284552845527E-2</v>
      </c>
      <c r="J25" s="66">
        <f t="shared" si="2"/>
        <v>2.2326269098077871</v>
      </c>
      <c r="K25" s="66">
        <f t="shared" si="2"/>
        <v>1.283773697566801</v>
      </c>
      <c r="L25" s="66">
        <f t="shared" si="2"/>
        <v>7.1827613727055067E-2</v>
      </c>
      <c r="M25" s="66">
        <f t="shared" si="2"/>
        <v>2.7285844322252371E-2</v>
      </c>
      <c r="N25" s="66">
        <f t="shared" si="2"/>
        <v>3.4129692832764506E-2</v>
      </c>
      <c r="O25" s="66">
        <f t="shared" si="2"/>
        <v>0</v>
      </c>
    </row>
    <row r="26" spans="1:15" x14ac:dyDescent="0.25">
      <c r="N26" s="1"/>
      <c r="O26" s="31"/>
    </row>
    <row r="28" spans="1:15" hidden="1" x14ac:dyDescent="0.25">
      <c r="A28" s="10" t="s">
        <v>74</v>
      </c>
    </row>
    <row r="29" spans="1:15" hidden="1" x14ac:dyDescent="0.25"/>
    <row r="30" spans="1:15" hidden="1" x14ac:dyDescent="0.25"/>
    <row r="31" spans="1:15" hidden="1" x14ac:dyDescent="0.25">
      <c r="A31" t="s">
        <v>48</v>
      </c>
      <c r="B31" s="7">
        <f t="shared" ref="B31:O31" si="3">B23*$L$6/100000</f>
        <v>21515.230250029756</v>
      </c>
      <c r="C31" s="7">
        <f t="shared" si="3"/>
        <v>334.39684542586747</v>
      </c>
      <c r="D31" s="7">
        <f t="shared" si="3"/>
        <v>39732.406250000007</v>
      </c>
      <c r="E31" s="7">
        <f t="shared" si="3"/>
        <v>26656.99764252036</v>
      </c>
      <c r="F31" s="7">
        <f t="shared" si="3"/>
        <v>4843.9632029339846</v>
      </c>
      <c r="G31" s="7">
        <f t="shared" si="3"/>
        <v>6599.977268311638</v>
      </c>
      <c r="H31" s="7">
        <f t="shared" si="3"/>
        <v>3764.6577363034312</v>
      </c>
      <c r="I31" s="7">
        <f t="shared" si="3"/>
        <v>2611.4353658536588</v>
      </c>
      <c r="J31" s="7">
        <f t="shared" si="3"/>
        <v>10675.356209955644</v>
      </c>
      <c r="K31" s="7">
        <f t="shared" si="3"/>
        <v>11006.536050156741</v>
      </c>
      <c r="L31" s="7">
        <f t="shared" si="3"/>
        <v>1959</v>
      </c>
      <c r="M31" s="7">
        <f t="shared" si="3"/>
        <v>1507.742085467996</v>
      </c>
      <c r="N31" s="7">
        <f t="shared" si="3"/>
        <v>3592.2184300341296</v>
      </c>
      <c r="O31" s="7">
        <f t="shared" si="3"/>
        <v>2176.3134493486236</v>
      </c>
    </row>
    <row r="32" spans="1:15" hidden="1" x14ac:dyDescent="0.25">
      <c r="B32" s="7"/>
      <c r="C32" s="7"/>
      <c r="D32" s="7"/>
      <c r="E32" s="7"/>
      <c r="F32" s="7"/>
      <c r="G32" s="7"/>
      <c r="H32" s="7"/>
      <c r="I32" s="7"/>
      <c r="J32" s="7"/>
      <c r="K32" s="7"/>
      <c r="L32" s="7"/>
      <c r="M32" s="7"/>
      <c r="N32" s="7"/>
      <c r="O32" s="7"/>
    </row>
    <row r="33" spans="1:15" hidden="1" x14ac:dyDescent="0.25">
      <c r="A33" t="s">
        <v>49</v>
      </c>
      <c r="B33" s="7">
        <f t="shared" ref="B33:O33" si="4">B25*$L$6/100000</f>
        <v>864.06230088991288</v>
      </c>
      <c r="C33" s="7">
        <f t="shared" si="4"/>
        <v>12.450946372239748</v>
      </c>
      <c r="D33" s="7">
        <f t="shared" si="4"/>
        <v>3777.0243055555557</v>
      </c>
      <c r="E33" s="7">
        <f t="shared" si="4"/>
        <v>1757.8521217316759</v>
      </c>
      <c r="F33" s="7">
        <f t="shared" si="4"/>
        <v>54.110299511002445</v>
      </c>
      <c r="G33" s="7">
        <f t="shared" si="4"/>
        <v>87.639401593161082</v>
      </c>
      <c r="H33" s="7">
        <f t="shared" si="4"/>
        <v>189.53416616496091</v>
      </c>
      <c r="I33" s="7">
        <f t="shared" si="4"/>
        <v>10.696341463414633</v>
      </c>
      <c r="J33" s="7">
        <f t="shared" si="4"/>
        <v>839.24445539674718</v>
      </c>
      <c r="K33" s="7">
        <f t="shared" si="4"/>
        <v>482.5705329153605</v>
      </c>
      <c r="L33" s="7">
        <f t="shared" si="4"/>
        <v>27</v>
      </c>
      <c r="M33" s="7">
        <f t="shared" si="4"/>
        <v>10.256748880734666</v>
      </c>
      <c r="N33" s="7">
        <f t="shared" si="4"/>
        <v>12.829351535836178</v>
      </c>
      <c r="O33" s="7">
        <f t="shared" si="4"/>
        <v>0</v>
      </c>
    </row>
    <row r="34" spans="1:15" hidden="1" x14ac:dyDescent="0.25"/>
    <row r="35" spans="1:15" hidden="1" x14ac:dyDescent="0.25">
      <c r="A35" t="s">
        <v>48</v>
      </c>
      <c r="B35" t="s">
        <v>75</v>
      </c>
    </row>
    <row r="36" spans="1:15" hidden="1" x14ac:dyDescent="0.25">
      <c r="A36" t="s">
        <v>50</v>
      </c>
      <c r="B36" s="7">
        <f>MIN($B$31:$M$31)</f>
        <v>334.39684542586747</v>
      </c>
      <c r="C36" s="7"/>
    </row>
    <row r="37" spans="1:15" hidden="1" x14ac:dyDescent="0.25">
      <c r="A37" t="s">
        <v>51</v>
      </c>
      <c r="B37" s="7">
        <f>MAX(B31:M31)</f>
        <v>39732.406250000007</v>
      </c>
      <c r="C37">
        <f>B37*1.6%</f>
        <v>635.71850000000018</v>
      </c>
      <c r="D37" t="s">
        <v>78</v>
      </c>
    </row>
    <row r="38" spans="1:15" hidden="1" x14ac:dyDescent="0.25"/>
    <row r="39" spans="1:15" hidden="1" x14ac:dyDescent="0.25">
      <c r="A39" t="s">
        <v>49</v>
      </c>
    </row>
    <row r="40" spans="1:15" hidden="1" x14ac:dyDescent="0.25">
      <c r="A40" t="s">
        <v>50</v>
      </c>
      <c r="B40" s="7">
        <f>MIN(B33:M33)</f>
        <v>10.256748880734666</v>
      </c>
    </row>
    <row r="41" spans="1:15" hidden="1" x14ac:dyDescent="0.25">
      <c r="A41" t="s">
        <v>51</v>
      </c>
      <c r="B41" s="7">
        <f>MAX($B$33:$M$33)</f>
        <v>3777.0243055555557</v>
      </c>
      <c r="C41">
        <f>B41*1.6%</f>
        <v>60.432388888888894</v>
      </c>
      <c r="D41" t="s">
        <v>78</v>
      </c>
    </row>
    <row r="42" spans="1:15" hidden="1" x14ac:dyDescent="0.25">
      <c r="B42" s="7"/>
    </row>
    <row r="43" spans="1:15" hidden="1" x14ac:dyDescent="0.25">
      <c r="A43" t="s">
        <v>63</v>
      </c>
      <c r="B43" s="7" t="s">
        <v>65</v>
      </c>
      <c r="C43" t="s">
        <v>66</v>
      </c>
    </row>
    <row r="44" spans="1:15" hidden="1" x14ac:dyDescent="0.25">
      <c r="A44" t="s">
        <v>50</v>
      </c>
      <c r="B44" s="7">
        <f>B18*L9</f>
        <v>293.84999999999997</v>
      </c>
      <c r="C44" s="7">
        <f>B36*B18</f>
        <v>50.15952681388012</v>
      </c>
    </row>
    <row r="45" spans="1:15" hidden="1" x14ac:dyDescent="0.25">
      <c r="A45" t="s">
        <v>51</v>
      </c>
      <c r="B45" s="7">
        <f>L9*D18</f>
        <v>1097.0400000000002</v>
      </c>
      <c r="C45" s="7">
        <f>B37*D18</f>
        <v>22250.147500000006</v>
      </c>
      <c r="D45">
        <f>C45*1.6%</f>
        <v>356.00236000000012</v>
      </c>
      <c r="E45" t="s">
        <v>78</v>
      </c>
    </row>
    <row r="46" spans="1:15" hidden="1" x14ac:dyDescent="0.25">
      <c r="B46" s="7"/>
    </row>
    <row r="47" spans="1:15" hidden="1" x14ac:dyDescent="0.25">
      <c r="A47" t="s">
        <v>64</v>
      </c>
      <c r="B47" s="7" t="s">
        <v>77</v>
      </c>
      <c r="C47" t="s">
        <v>76</v>
      </c>
    </row>
    <row r="48" spans="1:15" hidden="1" x14ac:dyDescent="0.25">
      <c r="A48" t="s">
        <v>50</v>
      </c>
      <c r="B48" s="7"/>
    </row>
    <row r="49" spans="1:14" hidden="1" x14ac:dyDescent="0.25">
      <c r="A49" t="s">
        <v>51</v>
      </c>
      <c r="B49" s="7">
        <f>L9*D19</f>
        <v>195.9</v>
      </c>
      <c r="C49" s="7">
        <f>B37*D19</f>
        <v>3973.2406250000008</v>
      </c>
      <c r="D49">
        <f>C49*1.6%</f>
        <v>63.571850000000012</v>
      </c>
      <c r="E49" t="s">
        <v>78</v>
      </c>
    </row>
    <row r="50" spans="1:14" hidden="1" x14ac:dyDescent="0.25"/>
    <row r="51" spans="1:14" hidden="1" x14ac:dyDescent="0.25"/>
    <row r="52" spans="1:14" hidden="1" x14ac:dyDescent="0.25">
      <c r="A52" s="10" t="s">
        <v>47</v>
      </c>
    </row>
    <row r="53" spans="1:14" hidden="1" x14ac:dyDescent="0.25"/>
    <row r="54" spans="1:14" hidden="1" x14ac:dyDescent="0.25">
      <c r="A54" t="s">
        <v>48</v>
      </c>
      <c r="B54" s="7">
        <f t="shared" ref="B54:M54" si="5">B23*$M$6/100000</f>
        <v>8390.6627724666196</v>
      </c>
      <c r="C54" s="7">
        <f t="shared" si="5"/>
        <v>130.41046410094634</v>
      </c>
      <c r="D54" s="7">
        <f t="shared" si="5"/>
        <v>15495.126852380956</v>
      </c>
      <c r="E54" s="7">
        <f t="shared" si="5"/>
        <v>10395.885851350193</v>
      </c>
      <c r="F54" s="7">
        <f t="shared" si="5"/>
        <v>1889.0832794132029</v>
      </c>
      <c r="G54" s="7">
        <f t="shared" si="5"/>
        <v>2573.9061548863415</v>
      </c>
      <c r="H54" s="7">
        <f t="shared" si="5"/>
        <v>1468.1680443106561</v>
      </c>
      <c r="I54" s="7">
        <f t="shared" si="5"/>
        <v>1018.4261684552845</v>
      </c>
      <c r="J54" s="7">
        <f t="shared" si="5"/>
        <v>4163.2514685066535</v>
      </c>
      <c r="K54" s="7">
        <f t="shared" si="5"/>
        <v>4292.407341991342</v>
      </c>
      <c r="L54" s="7">
        <f t="shared" si="5"/>
        <v>763.98477637669589</v>
      </c>
      <c r="M54" s="7">
        <f t="shared" si="5"/>
        <v>588</v>
      </c>
      <c r="N54" s="7"/>
    </row>
    <row r="55" spans="1:14" hidden="1" x14ac:dyDescent="0.25">
      <c r="B55" s="7"/>
      <c r="C55" s="7"/>
      <c r="D55" s="7"/>
      <c r="E55" s="7"/>
      <c r="F55" s="7"/>
      <c r="G55" s="7"/>
      <c r="H55" s="7"/>
      <c r="I55" s="7"/>
      <c r="J55" s="7"/>
      <c r="K55" s="7"/>
      <c r="L55" s="7"/>
      <c r="M55" s="7"/>
      <c r="N55" s="7"/>
    </row>
    <row r="56" spans="1:14" hidden="1" x14ac:dyDescent="0.25">
      <c r="A56" t="s">
        <v>49</v>
      </c>
      <c r="B56" s="7">
        <f t="shared" ref="B56:M56" si="6">B25*$M$6/100000</f>
        <v>336.97317188408033</v>
      </c>
      <c r="C56" s="7">
        <f t="shared" si="6"/>
        <v>4.8557087697160881</v>
      </c>
      <c r="D56" s="7">
        <f t="shared" si="6"/>
        <v>1472.9908470899472</v>
      </c>
      <c r="E56" s="7">
        <f t="shared" si="6"/>
        <v>685.53969378482645</v>
      </c>
      <c r="F56" s="7">
        <f t="shared" si="6"/>
        <v>21.10232009779951</v>
      </c>
      <c r="G56" s="7">
        <f t="shared" si="6"/>
        <v>34.178238197007964</v>
      </c>
      <c r="H56" s="7">
        <f t="shared" si="6"/>
        <v>73.915884406983764</v>
      </c>
      <c r="I56" s="7">
        <f t="shared" si="6"/>
        <v>4.1714354471544715</v>
      </c>
      <c r="J56" s="7">
        <f t="shared" si="6"/>
        <v>327.29453169048793</v>
      </c>
      <c r="K56" s="7">
        <f t="shared" si="6"/>
        <v>188.19629437229435</v>
      </c>
      <c r="L56" s="7">
        <f t="shared" si="6"/>
        <v>10.529652354349562</v>
      </c>
      <c r="M56" s="7">
        <f t="shared" si="6"/>
        <v>4</v>
      </c>
      <c r="N56" s="7"/>
    </row>
    <row r="57" spans="1:14" hidden="1" x14ac:dyDescent="0.25"/>
    <row r="58" spans="1:14" hidden="1" x14ac:dyDescent="0.25">
      <c r="A58" t="s">
        <v>48</v>
      </c>
    </row>
    <row r="59" spans="1:14" hidden="1" x14ac:dyDescent="0.25">
      <c r="A59" t="s">
        <v>50</v>
      </c>
      <c r="B59" s="7">
        <f>MIN($B$54:$M$54)</f>
        <v>130.41046410094634</v>
      </c>
    </row>
    <row r="60" spans="1:14" hidden="1" x14ac:dyDescent="0.25">
      <c r="A60" t="s">
        <v>51</v>
      </c>
      <c r="B60" s="7">
        <f>MAX($B$54:$M$54)</f>
        <v>15495.126852380956</v>
      </c>
    </row>
    <row r="61" spans="1:14" hidden="1" x14ac:dyDescent="0.25"/>
    <row r="62" spans="1:14" hidden="1" x14ac:dyDescent="0.25">
      <c r="A62" t="s">
        <v>49</v>
      </c>
    </row>
    <row r="63" spans="1:14" hidden="1" x14ac:dyDescent="0.25">
      <c r="A63" t="s">
        <v>50</v>
      </c>
      <c r="B63" s="7">
        <f>MIN($B$56:$M$56)</f>
        <v>4</v>
      </c>
    </row>
    <row r="64" spans="1:14" hidden="1" x14ac:dyDescent="0.25">
      <c r="A64" t="s">
        <v>51</v>
      </c>
      <c r="B64" s="7">
        <f>MAX($B$56:$M$56)</f>
        <v>1472.9908470899472</v>
      </c>
    </row>
    <row r="65" spans="1:14" hidden="1" x14ac:dyDescent="0.25">
      <c r="B65" s="7"/>
    </row>
    <row r="66" spans="1:14" hidden="1" x14ac:dyDescent="0.25">
      <c r="A66" t="s">
        <v>63</v>
      </c>
      <c r="B66" s="7" t="s">
        <v>77</v>
      </c>
      <c r="C66" t="s">
        <v>76</v>
      </c>
    </row>
    <row r="67" spans="1:14" hidden="1" x14ac:dyDescent="0.25">
      <c r="A67" t="s">
        <v>50</v>
      </c>
      <c r="B67" s="7">
        <f>B18*M9</f>
        <v>88.2</v>
      </c>
    </row>
    <row r="68" spans="1:14" hidden="1" x14ac:dyDescent="0.25">
      <c r="A68" t="s">
        <v>51</v>
      </c>
      <c r="B68" s="7">
        <f>D18*M9</f>
        <v>329.28000000000003</v>
      </c>
      <c r="C68" s="7">
        <f>B60*D18</f>
        <v>8677.2710373333357</v>
      </c>
    </row>
    <row r="69" spans="1:14" hidden="1" x14ac:dyDescent="0.25">
      <c r="B69" s="7"/>
    </row>
    <row r="70" spans="1:14" hidden="1" x14ac:dyDescent="0.25">
      <c r="A70" t="s">
        <v>64</v>
      </c>
      <c r="B70" s="7" t="s">
        <v>77</v>
      </c>
      <c r="C70" t="s">
        <v>76</v>
      </c>
    </row>
    <row r="71" spans="1:14" hidden="1" x14ac:dyDescent="0.25">
      <c r="A71" t="s">
        <v>50</v>
      </c>
      <c r="B71" s="7">
        <f>B19*M9</f>
        <v>29.400000000000002</v>
      </c>
    </row>
    <row r="72" spans="1:14" hidden="1" x14ac:dyDescent="0.25">
      <c r="A72" t="s">
        <v>51</v>
      </c>
      <c r="B72">
        <f>D19*M9</f>
        <v>58.800000000000004</v>
      </c>
      <c r="C72" s="7">
        <f>B60*D19</f>
        <v>1549.5126852380956</v>
      </c>
    </row>
    <row r="74" spans="1:14" x14ac:dyDescent="0.25">
      <c r="A74" s="10" t="s">
        <v>52</v>
      </c>
    </row>
    <row r="76" spans="1:14" x14ac:dyDescent="0.25">
      <c r="A76" s="48" t="s">
        <v>48</v>
      </c>
      <c r="B76" s="43">
        <f t="shared" ref="B76:M76" si="7">B23*$O$6/100000</f>
        <v>316.35487443549005</v>
      </c>
      <c r="C76" s="43">
        <f t="shared" si="7"/>
        <v>4.9168923974763405</v>
      </c>
      <c r="D76" s="43">
        <f t="shared" si="7"/>
        <v>584.21593653273817</v>
      </c>
      <c r="E76" s="43">
        <f t="shared" si="7"/>
        <v>391.95821025503642</v>
      </c>
      <c r="F76" s="43">
        <f t="shared" si="7"/>
        <v>71.224493209046457</v>
      </c>
      <c r="G76" s="43">
        <f t="shared" si="7"/>
        <v>97.044510132115775</v>
      </c>
      <c r="H76" s="43">
        <f t="shared" si="7"/>
        <v>55.354640021071639</v>
      </c>
      <c r="I76" s="43">
        <f t="shared" si="7"/>
        <v>38.397930101626017</v>
      </c>
      <c r="J76" s="43">
        <f t="shared" si="7"/>
        <v>156.96792151922128</v>
      </c>
      <c r="K76" s="43">
        <f t="shared" si="7"/>
        <v>161.8375118301239</v>
      </c>
      <c r="L76" s="43">
        <f t="shared" si="7"/>
        <v>28.804674261771748</v>
      </c>
      <c r="M76" s="43">
        <f t="shared" si="7"/>
        <v>22.169484248427789</v>
      </c>
      <c r="N76" s="7"/>
    </row>
    <row r="77" spans="1:14" x14ac:dyDescent="0.25">
      <c r="A77" s="48"/>
      <c r="B77" s="43"/>
      <c r="C77" s="43"/>
      <c r="D77" s="43"/>
      <c r="E77" s="43"/>
      <c r="F77" s="43"/>
      <c r="G77" s="43"/>
      <c r="H77" s="43"/>
      <c r="I77" s="43"/>
      <c r="J77" s="43"/>
      <c r="K77" s="43"/>
      <c r="L77" s="43"/>
      <c r="M77" s="43"/>
      <c r="N77" s="7"/>
    </row>
    <row r="78" spans="1:14" x14ac:dyDescent="0.25">
      <c r="A78" s="48" t="s">
        <v>49</v>
      </c>
      <c r="B78" s="43">
        <f t="shared" ref="B78:M78" si="8">B25*$O$6/100000</f>
        <v>12.704968411950457</v>
      </c>
      <c r="C78" s="43">
        <f t="shared" si="8"/>
        <v>0.18307578075709782</v>
      </c>
      <c r="D78" s="43">
        <f t="shared" si="8"/>
        <v>55.536475140542329</v>
      </c>
      <c r="E78" s="43">
        <f t="shared" si="8"/>
        <v>25.847043270467207</v>
      </c>
      <c r="F78" s="43">
        <f t="shared" si="8"/>
        <v>0.79562509015892413</v>
      </c>
      <c r="G78" s="43">
        <f t="shared" si="8"/>
        <v>1.288629104332621</v>
      </c>
      <c r="H78" s="43">
        <f t="shared" si="8"/>
        <v>2.7868657059000608</v>
      </c>
      <c r="I78" s="43">
        <f t="shared" si="8"/>
        <v>0.15727648373983738</v>
      </c>
      <c r="J78" s="43">
        <f t="shared" si="8"/>
        <v>12.340052661409562</v>
      </c>
      <c r="K78" s="43">
        <f t="shared" si="8"/>
        <v>7.0956033736378563</v>
      </c>
      <c r="L78" s="43">
        <f t="shared" si="8"/>
        <v>0.39700163607342381</v>
      </c>
      <c r="M78" s="43">
        <f t="shared" si="8"/>
        <v>0.15081281801651558</v>
      </c>
      <c r="N78" s="7"/>
    </row>
    <row r="80" spans="1:14" x14ac:dyDescent="0.25">
      <c r="A80" s="65" t="s">
        <v>48</v>
      </c>
      <c r="B80" s="65" t="s">
        <v>72</v>
      </c>
      <c r="C80" s="65" t="s">
        <v>73</v>
      </c>
    </row>
    <row r="81" spans="1:3" x14ac:dyDescent="0.25">
      <c r="A81" s="65" t="s">
        <v>50</v>
      </c>
      <c r="B81" s="66">
        <f>MIN($B$76:$M$76)</f>
        <v>4.9168923974763405</v>
      </c>
      <c r="C81" s="66">
        <f>MIN($C$76:$M$76)</f>
        <v>4.9168923974763405</v>
      </c>
    </row>
    <row r="82" spans="1:3" x14ac:dyDescent="0.25">
      <c r="A82" s="65" t="s">
        <v>51</v>
      </c>
      <c r="B82" s="66">
        <f>MAX($B$76:$M$76)</f>
        <v>584.21593653273817</v>
      </c>
      <c r="C82" s="66">
        <f>MAX($C$76:$M$76)</f>
        <v>584.21593653273817</v>
      </c>
    </row>
    <row r="83" spans="1:3" x14ac:dyDescent="0.25">
      <c r="A83" s="65"/>
      <c r="B83" s="65"/>
      <c r="C83" s="65"/>
    </row>
    <row r="84" spans="1:3" x14ac:dyDescent="0.25">
      <c r="A84" s="65" t="s">
        <v>49</v>
      </c>
      <c r="B84" s="65"/>
      <c r="C84" s="65"/>
    </row>
    <row r="85" spans="1:3" x14ac:dyDescent="0.25">
      <c r="A85" s="65" t="s">
        <v>50</v>
      </c>
      <c r="B85" s="66">
        <f>MIN($B$78:$M$78)</f>
        <v>0.15081281801651558</v>
      </c>
      <c r="C85" s="66">
        <f>MIN($C$78:$M$78)</f>
        <v>0.15081281801651558</v>
      </c>
    </row>
    <row r="86" spans="1:3" x14ac:dyDescent="0.25">
      <c r="A86" s="65" t="s">
        <v>51</v>
      </c>
      <c r="B86" s="66">
        <f>MAX($B$78:$M$78)</f>
        <v>55.536475140542329</v>
      </c>
      <c r="C86" s="66">
        <f>MAX($C$78:$M$78)</f>
        <v>55.536475140542329</v>
      </c>
    </row>
    <row r="87" spans="1:3" x14ac:dyDescent="0.25">
      <c r="A87" s="65"/>
      <c r="B87" s="65"/>
      <c r="C87" s="65"/>
    </row>
    <row r="88" spans="1:3" x14ac:dyDescent="0.25">
      <c r="A88" s="65" t="s">
        <v>27</v>
      </c>
      <c r="B88" s="65"/>
      <c r="C88" s="65"/>
    </row>
    <row r="89" spans="1:3" x14ac:dyDescent="0.25">
      <c r="A89" s="65" t="s">
        <v>50</v>
      </c>
      <c r="B89" s="66">
        <f>B81*$D$18</f>
        <v>2.7534597425867511</v>
      </c>
      <c r="C89" s="66">
        <f>C81*$D$18</f>
        <v>2.7534597425867511</v>
      </c>
    </row>
    <row r="90" spans="1:3" x14ac:dyDescent="0.25">
      <c r="A90" s="65" t="s">
        <v>51</v>
      </c>
      <c r="B90" s="66">
        <f>B82*$D$18</f>
        <v>327.1609244583334</v>
      </c>
      <c r="C90" s="66">
        <f>C82*$D$18</f>
        <v>327.1609244583334</v>
      </c>
    </row>
    <row r="91" spans="1:3" x14ac:dyDescent="0.25">
      <c r="A91" s="65"/>
      <c r="B91" s="66"/>
      <c r="C91" s="65"/>
    </row>
    <row r="92" spans="1:3" x14ac:dyDescent="0.25">
      <c r="A92" s="65" t="s">
        <v>62</v>
      </c>
      <c r="B92" s="66"/>
      <c r="C92" s="65"/>
    </row>
    <row r="93" spans="1:3" x14ac:dyDescent="0.25">
      <c r="A93" s="65" t="s">
        <v>50</v>
      </c>
      <c r="B93" s="66">
        <f>B81*$D$19</f>
        <v>0.49168923974763407</v>
      </c>
      <c r="C93" s="66">
        <f>C81*$D$19</f>
        <v>0.49168923974763407</v>
      </c>
    </row>
    <row r="94" spans="1:3" x14ac:dyDescent="0.25">
      <c r="A94" s="65" t="s">
        <v>51</v>
      </c>
      <c r="B94" s="66">
        <f>B82*$D$19</f>
        <v>58.421593653273817</v>
      </c>
      <c r="C94" s="66">
        <f>C82*$D$19</f>
        <v>58.421593653273817</v>
      </c>
    </row>
  </sheetData>
  <hyperlinks>
    <hyperlink ref="D17" r:id="rId1" xr:uid="{18E60E52-BA77-4FB6-BE45-9854C7C9D8CB}"/>
    <hyperlink ref="B17" r:id="rId2" xr:uid="{637C631E-B99A-4EEB-B89B-3E98B22C8B64}"/>
    <hyperlink ref="B1" r:id="rId3" xr:uid="{83C8F98C-BE8F-4C30-A39A-BDE0631A4BAA}"/>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5719-5A0E-4D37-BEBF-684C794A481A}">
  <sheetPr codeName="Sheet11"/>
  <dimension ref="A1:I126"/>
  <sheetViews>
    <sheetView zoomScale="70" zoomScaleNormal="70" workbookViewId="0">
      <selection activeCell="B2" sqref="B2"/>
    </sheetView>
  </sheetViews>
  <sheetFormatPr defaultRowHeight="15" x14ac:dyDescent="0.25"/>
  <cols>
    <col min="1" max="1" width="14.5703125" bestFit="1" customWidth="1"/>
    <col min="2" max="2" width="23.85546875" style="7" bestFit="1" customWidth="1"/>
    <col min="3" max="3" width="14.28515625" style="7" bestFit="1" customWidth="1"/>
    <col min="4" max="4" width="10.7109375" bestFit="1" customWidth="1"/>
    <col min="5" max="5" width="8.85546875" bestFit="1" customWidth="1"/>
    <col min="7" max="7" width="20" bestFit="1" customWidth="1"/>
  </cols>
  <sheetData>
    <row r="1" spans="1:8" x14ac:dyDescent="0.25">
      <c r="A1" s="11" t="s">
        <v>122</v>
      </c>
    </row>
    <row r="2" spans="1:8" x14ac:dyDescent="0.25">
      <c r="A2" t="s">
        <v>88</v>
      </c>
      <c r="B2" s="45">
        <v>43946</v>
      </c>
    </row>
    <row r="3" spans="1:8" x14ac:dyDescent="0.25">
      <c r="A3" t="s">
        <v>21</v>
      </c>
      <c r="B3" s="12"/>
    </row>
    <row r="4" spans="1:8" x14ac:dyDescent="0.25">
      <c r="B4" s="25" t="s">
        <v>124</v>
      </c>
      <c r="C4" s="25" t="s">
        <v>23</v>
      </c>
      <c r="D4" t="s">
        <v>24</v>
      </c>
      <c r="E4" s="24" t="s">
        <v>25</v>
      </c>
      <c r="F4" t="s">
        <v>26</v>
      </c>
      <c r="G4" s="23" t="s">
        <v>68</v>
      </c>
      <c r="H4" s="23" t="s">
        <v>27</v>
      </c>
    </row>
    <row r="5" spans="1:8" x14ac:dyDescent="0.25">
      <c r="A5" s="3">
        <v>43831</v>
      </c>
    </row>
    <row r="6" spans="1:8" x14ac:dyDescent="0.25">
      <c r="A6" s="3">
        <f>A5+1</f>
        <v>43832</v>
      </c>
    </row>
    <row r="7" spans="1:8" x14ac:dyDescent="0.25">
      <c r="A7" s="3">
        <f t="shared" ref="A7:A70" si="0">A6+1</f>
        <v>43833</v>
      </c>
    </row>
    <row r="8" spans="1:8" x14ac:dyDescent="0.25">
      <c r="A8" s="3">
        <f t="shared" si="0"/>
        <v>43834</v>
      </c>
    </row>
    <row r="9" spans="1:8" x14ac:dyDescent="0.25">
      <c r="A9" s="3">
        <f t="shared" si="0"/>
        <v>43835</v>
      </c>
    </row>
    <row r="10" spans="1:8" x14ac:dyDescent="0.25">
      <c r="A10" s="3">
        <f t="shared" si="0"/>
        <v>43836</v>
      </c>
    </row>
    <row r="11" spans="1:8" x14ac:dyDescent="0.25">
      <c r="A11" s="3">
        <f t="shared" si="0"/>
        <v>43837</v>
      </c>
    </row>
    <row r="12" spans="1:8" x14ac:dyDescent="0.25">
      <c r="A12" s="3">
        <f t="shared" si="0"/>
        <v>43838</v>
      </c>
    </row>
    <row r="13" spans="1:8" x14ac:dyDescent="0.25">
      <c r="A13" s="3">
        <f t="shared" si="0"/>
        <v>43839</v>
      </c>
    </row>
    <row r="14" spans="1:8" x14ac:dyDescent="0.25">
      <c r="A14" s="3">
        <f t="shared" si="0"/>
        <v>43840</v>
      </c>
    </row>
    <row r="15" spans="1:8" x14ac:dyDescent="0.25">
      <c r="A15" s="3">
        <f t="shared" si="0"/>
        <v>43841</v>
      </c>
    </row>
    <row r="16" spans="1:8" x14ac:dyDescent="0.25">
      <c r="A16" s="3">
        <f t="shared" si="0"/>
        <v>43842</v>
      </c>
    </row>
    <row r="17" spans="1:5" x14ac:dyDescent="0.25">
      <c r="A17" s="3">
        <f t="shared" si="0"/>
        <v>43843</v>
      </c>
    </row>
    <row r="18" spans="1:5" x14ac:dyDescent="0.25">
      <c r="A18" s="3">
        <f t="shared" si="0"/>
        <v>43844</v>
      </c>
    </row>
    <row r="19" spans="1:5" x14ac:dyDescent="0.25">
      <c r="A19" s="3">
        <f t="shared" si="0"/>
        <v>43845</v>
      </c>
    </row>
    <row r="20" spans="1:5" x14ac:dyDescent="0.25">
      <c r="A20" s="3">
        <f t="shared" si="0"/>
        <v>43846</v>
      </c>
    </row>
    <row r="21" spans="1:5" x14ac:dyDescent="0.25">
      <c r="A21" s="3">
        <f t="shared" si="0"/>
        <v>43847</v>
      </c>
    </row>
    <row r="22" spans="1:5" x14ac:dyDescent="0.25">
      <c r="A22" s="3">
        <f t="shared" si="0"/>
        <v>43848</v>
      </c>
    </row>
    <row r="23" spans="1:5" x14ac:dyDescent="0.25">
      <c r="A23" s="3">
        <f t="shared" si="0"/>
        <v>43849</v>
      </c>
    </row>
    <row r="24" spans="1:5" x14ac:dyDescent="0.25">
      <c r="A24" s="3">
        <f t="shared" si="0"/>
        <v>43850</v>
      </c>
    </row>
    <row r="25" spans="1:5" x14ac:dyDescent="0.25">
      <c r="A25" s="3">
        <f t="shared" si="0"/>
        <v>43851</v>
      </c>
    </row>
    <row r="26" spans="1:5" x14ac:dyDescent="0.25">
      <c r="A26" s="3">
        <f t="shared" si="0"/>
        <v>43852</v>
      </c>
    </row>
    <row r="27" spans="1:5" x14ac:dyDescent="0.25">
      <c r="A27" s="3">
        <f t="shared" si="0"/>
        <v>43853</v>
      </c>
    </row>
    <row r="28" spans="1:5" x14ac:dyDescent="0.25">
      <c r="A28" s="3">
        <f t="shared" si="0"/>
        <v>43854</v>
      </c>
    </row>
    <row r="29" spans="1:5" x14ac:dyDescent="0.25">
      <c r="A29" s="3">
        <f t="shared" si="0"/>
        <v>43855</v>
      </c>
    </row>
    <row r="30" spans="1:5" x14ac:dyDescent="0.25">
      <c r="A30" s="3">
        <f t="shared" si="0"/>
        <v>43856</v>
      </c>
      <c r="E30" s="4"/>
    </row>
    <row r="31" spans="1:5" x14ac:dyDescent="0.25">
      <c r="A31" s="3">
        <f t="shared" si="0"/>
        <v>43857</v>
      </c>
      <c r="E31" s="4"/>
    </row>
    <row r="32" spans="1:5" x14ac:dyDescent="0.25">
      <c r="A32" s="3">
        <f t="shared" si="0"/>
        <v>43858</v>
      </c>
      <c r="E32" s="4"/>
    </row>
    <row r="33" spans="1:5" x14ac:dyDescent="0.25">
      <c r="A33" s="3">
        <f t="shared" si="0"/>
        <v>43859</v>
      </c>
      <c r="E33" s="4"/>
    </row>
    <row r="34" spans="1:5" x14ac:dyDescent="0.25">
      <c r="A34" s="3">
        <f t="shared" si="0"/>
        <v>43860</v>
      </c>
      <c r="E34" s="4"/>
    </row>
    <row r="35" spans="1:5" x14ac:dyDescent="0.25">
      <c r="A35" s="3">
        <f t="shared" si="0"/>
        <v>43861</v>
      </c>
      <c r="E35" s="4"/>
    </row>
    <row r="36" spans="1:5" x14ac:dyDescent="0.25">
      <c r="A36" s="3">
        <f t="shared" si="0"/>
        <v>43862</v>
      </c>
      <c r="E36" s="4"/>
    </row>
    <row r="37" spans="1:5" x14ac:dyDescent="0.25">
      <c r="A37" s="3">
        <f t="shared" si="0"/>
        <v>43863</v>
      </c>
      <c r="E37" s="4"/>
    </row>
    <row r="38" spans="1:5" x14ac:dyDescent="0.25">
      <c r="A38" s="3">
        <f t="shared" si="0"/>
        <v>43864</v>
      </c>
      <c r="E38" s="4"/>
    </row>
    <row r="39" spans="1:5" x14ac:dyDescent="0.25">
      <c r="A39" s="3">
        <f t="shared" si="0"/>
        <v>43865</v>
      </c>
      <c r="E39" s="4"/>
    </row>
    <row r="40" spans="1:5" x14ac:dyDescent="0.25">
      <c r="A40" s="3">
        <f t="shared" si="0"/>
        <v>43866</v>
      </c>
      <c r="E40" s="4"/>
    </row>
    <row r="41" spans="1:5" x14ac:dyDescent="0.25">
      <c r="A41" s="3">
        <f t="shared" si="0"/>
        <v>43867</v>
      </c>
      <c r="E41" s="4"/>
    </row>
    <row r="42" spans="1:5" x14ac:dyDescent="0.25">
      <c r="A42" s="3">
        <f t="shared" si="0"/>
        <v>43868</v>
      </c>
      <c r="E42" s="4"/>
    </row>
    <row r="43" spans="1:5" x14ac:dyDescent="0.25">
      <c r="A43" s="3">
        <f t="shared" si="0"/>
        <v>43869</v>
      </c>
      <c r="E43" s="4"/>
    </row>
    <row r="44" spans="1:5" x14ac:dyDescent="0.25">
      <c r="A44" s="3">
        <f t="shared" si="0"/>
        <v>43870</v>
      </c>
      <c r="E44" s="4"/>
    </row>
    <row r="45" spans="1:5" x14ac:dyDescent="0.25">
      <c r="A45" s="3">
        <f t="shared" si="0"/>
        <v>43871</v>
      </c>
      <c r="E45" s="4"/>
    </row>
    <row r="46" spans="1:5" x14ac:dyDescent="0.25">
      <c r="A46" s="3">
        <f t="shared" si="0"/>
        <v>43872</v>
      </c>
      <c r="E46" s="4"/>
    </row>
    <row r="47" spans="1:5" x14ac:dyDescent="0.25">
      <c r="A47" s="3">
        <f t="shared" si="0"/>
        <v>43873</v>
      </c>
      <c r="E47" s="4"/>
    </row>
    <row r="48" spans="1:5" x14ac:dyDescent="0.25">
      <c r="A48" s="3">
        <f t="shared" si="0"/>
        <v>43874</v>
      </c>
      <c r="E48" s="4"/>
    </row>
    <row r="49" spans="1:5" x14ac:dyDescent="0.25">
      <c r="A49" s="3">
        <f t="shared" si="0"/>
        <v>43875</v>
      </c>
      <c r="E49" s="4"/>
    </row>
    <row r="50" spans="1:5" x14ac:dyDescent="0.25">
      <c r="A50" s="3">
        <f t="shared" si="0"/>
        <v>43876</v>
      </c>
      <c r="E50" s="4"/>
    </row>
    <row r="51" spans="1:5" x14ac:dyDescent="0.25">
      <c r="A51" s="3">
        <f t="shared" si="0"/>
        <v>43877</v>
      </c>
      <c r="E51" s="4"/>
    </row>
    <row r="52" spans="1:5" x14ac:dyDescent="0.25">
      <c r="A52" s="3">
        <f t="shared" si="0"/>
        <v>43878</v>
      </c>
      <c r="E52" s="4"/>
    </row>
    <row r="53" spans="1:5" x14ac:dyDescent="0.25">
      <c r="A53" s="3">
        <f t="shared" si="0"/>
        <v>43879</v>
      </c>
      <c r="E53" s="4"/>
    </row>
    <row r="54" spans="1:5" x14ac:dyDescent="0.25">
      <c r="A54" s="3">
        <f t="shared" si="0"/>
        <v>43880</v>
      </c>
      <c r="E54" s="4"/>
    </row>
    <row r="55" spans="1:5" x14ac:dyDescent="0.25">
      <c r="A55" s="3">
        <f t="shared" si="0"/>
        <v>43881</v>
      </c>
      <c r="E55" s="4"/>
    </row>
    <row r="56" spans="1:5" x14ac:dyDescent="0.25">
      <c r="A56" s="3">
        <f t="shared" si="0"/>
        <v>43882</v>
      </c>
      <c r="E56" s="4"/>
    </row>
    <row r="57" spans="1:5" x14ac:dyDescent="0.25">
      <c r="A57" s="3">
        <f t="shared" si="0"/>
        <v>43883</v>
      </c>
      <c r="E57" s="4"/>
    </row>
    <row r="58" spans="1:5" x14ac:dyDescent="0.25">
      <c r="A58" s="3">
        <f t="shared" si="0"/>
        <v>43884</v>
      </c>
      <c r="E58" s="4"/>
    </row>
    <row r="59" spans="1:5" x14ac:dyDescent="0.25">
      <c r="A59" s="3">
        <f t="shared" si="0"/>
        <v>43885</v>
      </c>
      <c r="E59" s="4"/>
    </row>
    <row r="60" spans="1:5" x14ac:dyDescent="0.25">
      <c r="A60" s="3">
        <f t="shared" si="0"/>
        <v>43886</v>
      </c>
      <c r="E60" s="4"/>
    </row>
    <row r="61" spans="1:5" x14ac:dyDescent="0.25">
      <c r="A61" s="3">
        <f t="shared" si="0"/>
        <v>43887</v>
      </c>
      <c r="E61" s="4"/>
    </row>
    <row r="62" spans="1:5" x14ac:dyDescent="0.25">
      <c r="A62" s="3">
        <f t="shared" si="0"/>
        <v>43888</v>
      </c>
      <c r="E62" s="4"/>
    </row>
    <row r="63" spans="1:5" x14ac:dyDescent="0.25">
      <c r="A63" s="3">
        <f t="shared" si="0"/>
        <v>43889</v>
      </c>
      <c r="E63" s="4"/>
    </row>
    <row r="64" spans="1:5" x14ac:dyDescent="0.25">
      <c r="A64" s="3">
        <f t="shared" si="0"/>
        <v>43890</v>
      </c>
      <c r="E64" s="4"/>
    </row>
    <row r="65" spans="1:9" x14ac:dyDescent="0.25">
      <c r="A65" s="3">
        <f t="shared" si="0"/>
        <v>43891</v>
      </c>
      <c r="E65" s="4"/>
    </row>
    <row r="66" spans="1:9" x14ac:dyDescent="0.25">
      <c r="A66" s="3">
        <f t="shared" si="0"/>
        <v>43892</v>
      </c>
      <c r="E66" s="4"/>
    </row>
    <row r="67" spans="1:9" x14ac:dyDescent="0.25">
      <c r="A67" s="3">
        <f t="shared" si="0"/>
        <v>43893</v>
      </c>
      <c r="E67" s="4"/>
    </row>
    <row r="68" spans="1:9" x14ac:dyDescent="0.25">
      <c r="A68" s="3">
        <f t="shared" si="0"/>
        <v>43894</v>
      </c>
      <c r="E68" s="4"/>
    </row>
    <row r="69" spans="1:9" x14ac:dyDescent="0.25">
      <c r="A69" s="3">
        <f t="shared" si="0"/>
        <v>43895</v>
      </c>
      <c r="B69" s="7">
        <v>1</v>
      </c>
      <c r="E69" s="4"/>
    </row>
    <row r="70" spans="1:9" x14ac:dyDescent="0.25">
      <c r="A70" s="3">
        <f t="shared" si="0"/>
        <v>43896</v>
      </c>
      <c r="B70" s="7">
        <v>1</v>
      </c>
      <c r="E70" s="4">
        <f t="shared" ref="E70:E76" si="1">B70/B69-1</f>
        <v>0</v>
      </c>
    </row>
    <row r="71" spans="1:9" x14ac:dyDescent="0.25">
      <c r="A71" s="3">
        <f t="shared" ref="A71:A125" si="2">A70+1</f>
        <v>43897</v>
      </c>
      <c r="B71" s="7">
        <v>1</v>
      </c>
      <c r="E71" s="4">
        <f t="shared" si="1"/>
        <v>0</v>
      </c>
    </row>
    <row r="72" spans="1:9" x14ac:dyDescent="0.25">
      <c r="A72" s="3">
        <f t="shared" si="2"/>
        <v>43898</v>
      </c>
      <c r="B72" s="7">
        <v>1</v>
      </c>
      <c r="E72" s="4">
        <f t="shared" si="1"/>
        <v>0</v>
      </c>
    </row>
    <row r="73" spans="1:9" x14ac:dyDescent="0.25">
      <c r="A73" s="3">
        <f t="shared" si="2"/>
        <v>43899</v>
      </c>
      <c r="B73" s="7">
        <v>1</v>
      </c>
      <c r="E73" s="4">
        <f t="shared" si="1"/>
        <v>0</v>
      </c>
    </row>
    <row r="74" spans="1:9" x14ac:dyDescent="0.25">
      <c r="A74" s="3">
        <f t="shared" si="2"/>
        <v>43900</v>
      </c>
      <c r="B74" s="7">
        <v>1</v>
      </c>
      <c r="E74" s="4">
        <f t="shared" si="1"/>
        <v>0</v>
      </c>
    </row>
    <row r="75" spans="1:9" x14ac:dyDescent="0.25">
      <c r="A75" s="3">
        <f t="shared" si="2"/>
        <v>43901</v>
      </c>
      <c r="B75" s="7">
        <v>1</v>
      </c>
      <c r="E75" s="4">
        <f t="shared" si="1"/>
        <v>0</v>
      </c>
    </row>
    <row r="76" spans="1:9" x14ac:dyDescent="0.25">
      <c r="A76" s="3">
        <f t="shared" si="2"/>
        <v>43902</v>
      </c>
      <c r="B76" s="7">
        <v>3</v>
      </c>
      <c r="C76" s="7">
        <v>2</v>
      </c>
      <c r="E76" s="4">
        <f t="shared" si="1"/>
        <v>2</v>
      </c>
    </row>
    <row r="77" spans="1:9" x14ac:dyDescent="0.25">
      <c r="A77" s="3">
        <f t="shared" si="2"/>
        <v>43903</v>
      </c>
      <c r="B77" s="7">
        <v>4</v>
      </c>
      <c r="C77" s="7">
        <v>1</v>
      </c>
      <c r="E77" s="4">
        <f t="shared" ref="E77:E79" si="3">B77/B76-1</f>
        <v>0.33333333333333326</v>
      </c>
    </row>
    <row r="78" spans="1:9" x14ac:dyDescent="0.25">
      <c r="A78" s="3">
        <f t="shared" si="2"/>
        <v>43904</v>
      </c>
      <c r="B78" s="7">
        <v>4</v>
      </c>
      <c r="C78" s="7">
        <v>0</v>
      </c>
      <c r="E78" s="4">
        <f t="shared" si="3"/>
        <v>0</v>
      </c>
    </row>
    <row r="79" spans="1:9" x14ac:dyDescent="0.25">
      <c r="A79" s="3">
        <f t="shared" si="2"/>
        <v>43905</v>
      </c>
      <c r="B79" s="7">
        <v>5</v>
      </c>
      <c r="C79" s="7">
        <f>B79-B78</f>
        <v>1</v>
      </c>
      <c r="E79" s="4">
        <f t="shared" si="3"/>
        <v>0.25</v>
      </c>
    </row>
    <row r="80" spans="1:9" x14ac:dyDescent="0.25">
      <c r="A80" s="28">
        <f t="shared" si="2"/>
        <v>43906</v>
      </c>
      <c r="B80" s="29">
        <v>8</v>
      </c>
      <c r="C80" s="7">
        <f>B80-B79</f>
        <v>3</v>
      </c>
      <c r="E80" s="4">
        <f t="shared" ref="E80:E94" si="4">B80/B79-1</f>
        <v>0.60000000000000009</v>
      </c>
      <c r="H80" s="4">
        <v>0.13</v>
      </c>
      <c r="I80" t="s">
        <v>67</v>
      </c>
    </row>
    <row r="81" spans="1:6" x14ac:dyDescent="0.25">
      <c r="A81" s="28">
        <f t="shared" si="2"/>
        <v>43907</v>
      </c>
      <c r="B81" s="29">
        <v>10</v>
      </c>
      <c r="C81" s="29">
        <f t="shared" ref="C81:C125" si="5">B81-B80</f>
        <v>2</v>
      </c>
      <c r="D81" s="31"/>
      <c r="E81" s="4">
        <f t="shared" si="4"/>
        <v>0.25</v>
      </c>
    </row>
    <row r="82" spans="1:6" x14ac:dyDescent="0.25">
      <c r="A82" s="28">
        <f t="shared" si="2"/>
        <v>43908</v>
      </c>
      <c r="B82" s="29">
        <v>10</v>
      </c>
      <c r="C82" s="29">
        <f t="shared" si="5"/>
        <v>0</v>
      </c>
      <c r="D82" s="31"/>
      <c r="E82" s="32">
        <f t="shared" si="4"/>
        <v>0</v>
      </c>
    </row>
    <row r="83" spans="1:6" x14ac:dyDescent="0.25">
      <c r="A83" s="28">
        <f t="shared" si="2"/>
        <v>43909</v>
      </c>
      <c r="B83" s="29">
        <v>12</v>
      </c>
      <c r="C83" s="29">
        <f t="shared" si="5"/>
        <v>2</v>
      </c>
      <c r="D83" s="31"/>
      <c r="E83" s="32">
        <f t="shared" si="4"/>
        <v>0.19999999999999996</v>
      </c>
      <c r="F83" s="4">
        <f>AVERAGE(E70:E83)</f>
        <v>0.25952380952380949</v>
      </c>
    </row>
    <row r="84" spans="1:6" x14ac:dyDescent="0.25">
      <c r="A84" s="28">
        <f t="shared" si="2"/>
        <v>43910</v>
      </c>
      <c r="B84" s="29">
        <v>15</v>
      </c>
      <c r="C84" s="29">
        <f t="shared" si="5"/>
        <v>3</v>
      </c>
      <c r="D84" s="31"/>
      <c r="E84" s="32">
        <f t="shared" si="4"/>
        <v>0.25</v>
      </c>
      <c r="F84" s="4">
        <f>AVERAGE(E71:E84)</f>
        <v>0.27738095238095234</v>
      </c>
    </row>
    <row r="85" spans="1:6" x14ac:dyDescent="0.25">
      <c r="A85" s="28">
        <f t="shared" si="2"/>
        <v>43911</v>
      </c>
      <c r="B85" s="29">
        <v>15</v>
      </c>
      <c r="C85" s="29">
        <f t="shared" si="5"/>
        <v>0</v>
      </c>
      <c r="D85" s="31"/>
      <c r="E85" s="32">
        <f t="shared" si="4"/>
        <v>0</v>
      </c>
      <c r="F85" s="4">
        <f t="shared" ref="F85:F94" si="6">AVERAGE(E72:E85)</f>
        <v>0.27738095238095234</v>
      </c>
    </row>
    <row r="86" spans="1:6" x14ac:dyDescent="0.25">
      <c r="A86" s="28">
        <f t="shared" si="2"/>
        <v>43912</v>
      </c>
      <c r="B86" s="29">
        <v>15</v>
      </c>
      <c r="C86" s="29">
        <f t="shared" si="5"/>
        <v>0</v>
      </c>
      <c r="D86" s="31"/>
      <c r="E86" s="32">
        <f t="shared" si="4"/>
        <v>0</v>
      </c>
      <c r="F86" s="4">
        <f t="shared" si="6"/>
        <v>0.27738095238095234</v>
      </c>
    </row>
    <row r="87" spans="1:6" x14ac:dyDescent="0.25">
      <c r="A87" s="28">
        <f t="shared" si="2"/>
        <v>43913</v>
      </c>
      <c r="B87" s="29">
        <v>32</v>
      </c>
      <c r="C87" s="29">
        <f t="shared" si="5"/>
        <v>17</v>
      </c>
      <c r="D87" s="31"/>
      <c r="E87" s="32">
        <f t="shared" si="4"/>
        <v>1.1333333333333333</v>
      </c>
      <c r="F87" s="4">
        <f t="shared" si="6"/>
        <v>0.35833333333333328</v>
      </c>
    </row>
    <row r="88" spans="1:6" x14ac:dyDescent="0.25">
      <c r="A88" s="28">
        <f t="shared" si="2"/>
        <v>43914</v>
      </c>
      <c r="B88" s="29">
        <f>B87+26</f>
        <v>58</v>
      </c>
      <c r="C88" s="29">
        <f t="shared" si="5"/>
        <v>26</v>
      </c>
      <c r="D88" s="31"/>
      <c r="E88" s="32">
        <f t="shared" si="4"/>
        <v>0.8125</v>
      </c>
      <c r="F88" s="4">
        <f t="shared" si="6"/>
        <v>0.41636904761904753</v>
      </c>
    </row>
    <row r="89" spans="1:6" x14ac:dyDescent="0.25">
      <c r="A89" s="28">
        <f t="shared" si="2"/>
        <v>43915</v>
      </c>
      <c r="B89" s="29">
        <v>58</v>
      </c>
      <c r="C89" s="29">
        <f t="shared" si="5"/>
        <v>0</v>
      </c>
      <c r="D89" s="31"/>
      <c r="E89" s="32">
        <f t="shared" si="4"/>
        <v>0</v>
      </c>
      <c r="F89" s="4">
        <f t="shared" si="6"/>
        <v>0.41636904761904753</v>
      </c>
    </row>
    <row r="90" spans="1:6" x14ac:dyDescent="0.25">
      <c r="A90" s="28">
        <f t="shared" si="2"/>
        <v>43916</v>
      </c>
      <c r="B90" s="29">
        <v>69</v>
      </c>
      <c r="C90" s="29">
        <f t="shared" si="5"/>
        <v>11</v>
      </c>
      <c r="D90" s="31"/>
      <c r="E90" s="32">
        <f t="shared" si="4"/>
        <v>0.18965517241379315</v>
      </c>
      <c r="F90" s="4">
        <f t="shared" si="6"/>
        <v>0.2870587027914614</v>
      </c>
    </row>
    <row r="91" spans="1:6" x14ac:dyDescent="0.25">
      <c r="A91" s="28">
        <f t="shared" si="2"/>
        <v>43917</v>
      </c>
      <c r="B91" s="29">
        <v>69</v>
      </c>
      <c r="C91" s="29">
        <f t="shared" si="5"/>
        <v>0</v>
      </c>
      <c r="D91" s="31"/>
      <c r="E91" s="32">
        <f t="shared" si="4"/>
        <v>0</v>
      </c>
      <c r="F91" s="4">
        <f t="shared" si="6"/>
        <v>0.26324917898193761</v>
      </c>
    </row>
    <row r="92" spans="1:6" x14ac:dyDescent="0.25">
      <c r="A92" s="28">
        <f t="shared" si="2"/>
        <v>43918</v>
      </c>
      <c r="B92" s="29">
        <v>69</v>
      </c>
      <c r="C92" s="29">
        <f t="shared" si="5"/>
        <v>0</v>
      </c>
      <c r="D92" s="31"/>
      <c r="E92" s="32">
        <f t="shared" si="4"/>
        <v>0</v>
      </c>
      <c r="F92" s="4">
        <f t="shared" si="6"/>
        <v>0.26324917898193761</v>
      </c>
    </row>
    <row r="93" spans="1:6" x14ac:dyDescent="0.25">
      <c r="A93" s="28">
        <f t="shared" si="2"/>
        <v>43919</v>
      </c>
      <c r="B93" s="29">
        <v>69</v>
      </c>
      <c r="C93" s="29">
        <f t="shared" si="5"/>
        <v>0</v>
      </c>
      <c r="D93" s="31"/>
      <c r="E93" s="32">
        <f t="shared" si="4"/>
        <v>0</v>
      </c>
      <c r="F93" s="4">
        <f t="shared" si="6"/>
        <v>0.24539203612479477</v>
      </c>
    </row>
    <row r="94" spans="1:6" x14ac:dyDescent="0.25">
      <c r="A94" s="28">
        <f t="shared" si="2"/>
        <v>43920</v>
      </c>
      <c r="B94" s="29">
        <v>103</v>
      </c>
      <c r="C94" s="29">
        <f t="shared" si="5"/>
        <v>34</v>
      </c>
      <c r="D94" s="31"/>
      <c r="E94" s="32">
        <f t="shared" si="4"/>
        <v>0.49275362318840576</v>
      </c>
      <c r="F94" s="4">
        <f t="shared" si="6"/>
        <v>0.23773158063825228</v>
      </c>
    </row>
    <row r="95" spans="1:6" x14ac:dyDescent="0.25">
      <c r="A95" s="28">
        <f t="shared" si="2"/>
        <v>43921</v>
      </c>
      <c r="B95" s="29">
        <v>117</v>
      </c>
      <c r="C95" s="29">
        <f t="shared" ref="C95:C114" si="7">B95-B94</f>
        <v>14</v>
      </c>
      <c r="D95" s="31"/>
      <c r="E95" s="32">
        <f t="shared" ref="E95:E114" si="8">B95/B94-1</f>
        <v>0.13592233009708732</v>
      </c>
      <c r="F95" s="4">
        <f t="shared" ref="F95:F114" si="9">AVERAGE(E82:E95)</f>
        <v>0.2295831756451871</v>
      </c>
    </row>
    <row r="96" spans="1:6" x14ac:dyDescent="0.25">
      <c r="A96" s="28">
        <f t="shared" si="2"/>
        <v>43922</v>
      </c>
      <c r="B96" s="29">
        <v>135</v>
      </c>
      <c r="C96" s="29">
        <f t="shared" si="7"/>
        <v>18</v>
      </c>
      <c r="D96" s="31"/>
      <c r="E96" s="32">
        <f t="shared" si="8"/>
        <v>0.15384615384615374</v>
      </c>
      <c r="F96" s="4">
        <f t="shared" si="9"/>
        <v>0.24057218663419808</v>
      </c>
    </row>
    <row r="97" spans="1:9" x14ac:dyDescent="0.25">
      <c r="A97" s="28">
        <f t="shared" si="2"/>
        <v>43923</v>
      </c>
      <c r="B97" s="29">
        <v>148</v>
      </c>
      <c r="C97" s="29">
        <f t="shared" si="7"/>
        <v>13</v>
      </c>
      <c r="D97" s="31"/>
      <c r="E97" s="32">
        <f t="shared" si="8"/>
        <v>9.6296296296296324E-2</v>
      </c>
      <c r="F97" s="4">
        <f t="shared" si="9"/>
        <v>0.23316477922679071</v>
      </c>
    </row>
    <row r="98" spans="1:9" x14ac:dyDescent="0.25">
      <c r="A98" s="28">
        <f t="shared" si="2"/>
        <v>43924</v>
      </c>
      <c r="B98" s="29">
        <v>148</v>
      </c>
      <c r="C98" s="29">
        <f t="shared" si="7"/>
        <v>0</v>
      </c>
      <c r="D98" s="31"/>
      <c r="E98" s="32">
        <f t="shared" si="8"/>
        <v>0</v>
      </c>
      <c r="F98" s="4">
        <f t="shared" si="9"/>
        <v>0.21530763636964784</v>
      </c>
    </row>
    <row r="99" spans="1:9" x14ac:dyDescent="0.25">
      <c r="A99" s="28">
        <f t="shared" si="2"/>
        <v>43925</v>
      </c>
      <c r="B99" s="29">
        <v>148</v>
      </c>
      <c r="C99" s="29">
        <f t="shared" si="7"/>
        <v>0</v>
      </c>
      <c r="D99" s="31"/>
      <c r="E99" s="32">
        <f t="shared" si="8"/>
        <v>0</v>
      </c>
      <c r="F99" s="4">
        <f t="shared" si="9"/>
        <v>0.21530763636964784</v>
      </c>
    </row>
    <row r="100" spans="1:9" x14ac:dyDescent="0.25">
      <c r="A100" s="28">
        <f t="shared" si="2"/>
        <v>43926</v>
      </c>
      <c r="B100" s="29">
        <v>185</v>
      </c>
      <c r="C100" s="29">
        <f t="shared" si="7"/>
        <v>37</v>
      </c>
      <c r="D100" s="31"/>
      <c r="E100" s="32">
        <f t="shared" si="8"/>
        <v>0.25</v>
      </c>
      <c r="F100" s="4">
        <f t="shared" si="9"/>
        <v>0.23316477922679071</v>
      </c>
    </row>
    <row r="101" spans="1:9" x14ac:dyDescent="0.25">
      <c r="A101" s="28">
        <f t="shared" si="2"/>
        <v>43927</v>
      </c>
      <c r="B101" s="29">
        <v>195</v>
      </c>
      <c r="C101" s="29">
        <f t="shared" si="7"/>
        <v>10</v>
      </c>
      <c r="D101" s="31"/>
      <c r="E101" s="32">
        <f t="shared" si="8"/>
        <v>5.4054054054053946E-2</v>
      </c>
      <c r="F101" s="4">
        <f t="shared" si="9"/>
        <v>0.15607340213541357</v>
      </c>
    </row>
    <row r="102" spans="1:9" x14ac:dyDescent="0.25">
      <c r="A102" s="28">
        <f t="shared" si="2"/>
        <v>43928</v>
      </c>
      <c r="B102" s="29">
        <v>220</v>
      </c>
      <c r="C102" s="29">
        <f t="shared" si="7"/>
        <v>25</v>
      </c>
      <c r="D102" s="31"/>
      <c r="E102" s="32">
        <f t="shared" si="8"/>
        <v>0.12820512820512819</v>
      </c>
      <c r="F102" s="4">
        <f t="shared" si="9"/>
        <v>0.10719519700720846</v>
      </c>
    </row>
    <row r="103" spans="1:9" x14ac:dyDescent="0.25">
      <c r="A103" s="28">
        <f t="shared" si="2"/>
        <v>43929</v>
      </c>
      <c r="B103" s="29">
        <v>230</v>
      </c>
      <c r="C103" s="29">
        <f t="shared" si="7"/>
        <v>10</v>
      </c>
      <c r="D103" s="31"/>
      <c r="E103" s="32">
        <f t="shared" si="8"/>
        <v>4.5454545454545414E-2</v>
      </c>
      <c r="F103" s="4">
        <f t="shared" si="9"/>
        <v>0.11044195025396171</v>
      </c>
    </row>
    <row r="104" spans="1:9" x14ac:dyDescent="0.25">
      <c r="A104" s="28">
        <f t="shared" si="2"/>
        <v>43930</v>
      </c>
      <c r="B104" s="29">
        <v>242</v>
      </c>
      <c r="C104" s="29">
        <f t="shared" si="7"/>
        <v>12</v>
      </c>
      <c r="D104" s="31"/>
      <c r="E104" s="32">
        <f t="shared" si="8"/>
        <v>5.2173913043478182E-2</v>
      </c>
      <c r="F104" s="4">
        <f t="shared" si="9"/>
        <v>0.1006218602989392</v>
      </c>
    </row>
    <row r="105" spans="1:9" x14ac:dyDescent="0.25">
      <c r="A105" s="28">
        <f t="shared" si="2"/>
        <v>43931</v>
      </c>
      <c r="B105" s="29">
        <v>250</v>
      </c>
      <c r="C105" s="29">
        <f t="shared" si="7"/>
        <v>8</v>
      </c>
      <c r="D105" s="31"/>
      <c r="E105" s="32">
        <f t="shared" si="8"/>
        <v>3.3057851239669311E-2</v>
      </c>
      <c r="F105" s="4">
        <f t="shared" si="9"/>
        <v>0.10298313538748702</v>
      </c>
    </row>
    <row r="106" spans="1:9" x14ac:dyDescent="0.25">
      <c r="A106" s="28">
        <f t="shared" si="2"/>
        <v>43932</v>
      </c>
      <c r="B106" s="29">
        <v>275</v>
      </c>
      <c r="C106" s="29">
        <f t="shared" si="7"/>
        <v>25</v>
      </c>
      <c r="D106" s="31"/>
      <c r="E106" s="32">
        <f t="shared" si="8"/>
        <v>0.10000000000000009</v>
      </c>
      <c r="F106" s="4">
        <f t="shared" si="9"/>
        <v>0.11012599253034416</v>
      </c>
    </row>
    <row r="107" spans="1:9" x14ac:dyDescent="0.25">
      <c r="A107" s="28">
        <f t="shared" si="2"/>
        <v>43933</v>
      </c>
      <c r="B107" s="29">
        <v>327</v>
      </c>
      <c r="C107" s="29">
        <f t="shared" si="7"/>
        <v>52</v>
      </c>
      <c r="D107" s="31"/>
      <c r="E107" s="32">
        <f t="shared" si="8"/>
        <v>0.1890909090909092</v>
      </c>
      <c r="F107" s="4">
        <f t="shared" si="9"/>
        <v>0.12363248603683767</v>
      </c>
    </row>
    <row r="108" spans="1:9" x14ac:dyDescent="0.25">
      <c r="A108" s="28">
        <f t="shared" si="2"/>
        <v>43934</v>
      </c>
      <c r="B108" s="29">
        <v>350</v>
      </c>
      <c r="C108" s="29">
        <f t="shared" si="7"/>
        <v>23</v>
      </c>
      <c r="D108" s="31"/>
      <c r="E108" s="32">
        <f t="shared" si="8"/>
        <v>7.0336391437308965E-2</v>
      </c>
      <c r="F108" s="4">
        <f t="shared" si="9"/>
        <v>9.3459826626045045E-2</v>
      </c>
      <c r="H108" t="s">
        <v>116</v>
      </c>
      <c r="I108" t="s">
        <v>115</v>
      </c>
    </row>
    <row r="109" spans="1:9" x14ac:dyDescent="0.25">
      <c r="A109" s="28">
        <f t="shared" si="2"/>
        <v>43935</v>
      </c>
      <c r="B109" s="29">
        <v>375</v>
      </c>
      <c r="C109" s="29">
        <f t="shared" si="7"/>
        <v>25</v>
      </c>
      <c r="D109" s="31"/>
      <c r="E109" s="32">
        <f t="shared" si="8"/>
        <v>7.1428571428571397E-2</v>
      </c>
      <c r="F109" s="4">
        <f t="shared" si="9"/>
        <v>8.8853129578293916E-2</v>
      </c>
      <c r="G109" s="7">
        <f>SUM(C85:C114)</f>
        <v>488</v>
      </c>
      <c r="H109" s="7">
        <f>G109*0.56</f>
        <v>273.28000000000003</v>
      </c>
      <c r="I109" s="7">
        <f>G109*0.1</f>
        <v>48.800000000000004</v>
      </c>
    </row>
    <row r="110" spans="1:9" x14ac:dyDescent="0.25">
      <c r="A110" s="28">
        <f t="shared" si="2"/>
        <v>43936</v>
      </c>
      <c r="B110" s="29">
        <v>380</v>
      </c>
      <c r="C110" s="29">
        <f t="shared" si="7"/>
        <v>5</v>
      </c>
      <c r="D110" s="31"/>
      <c r="E110" s="32">
        <f t="shared" si="8"/>
        <v>1.3333333333333419E-2</v>
      </c>
      <c r="F110" s="4">
        <f t="shared" si="9"/>
        <v>7.8816499541663892E-2</v>
      </c>
      <c r="H110">
        <f>G109*0.1</f>
        <v>48.800000000000004</v>
      </c>
      <c r="I110">
        <f>G109*0.06</f>
        <v>29.279999999999998</v>
      </c>
    </row>
    <row r="111" spans="1:9" x14ac:dyDescent="0.25">
      <c r="A111" s="28">
        <f>A110+1</f>
        <v>43937</v>
      </c>
      <c r="B111" s="29">
        <v>399</v>
      </c>
      <c r="C111" s="29">
        <f t="shared" si="7"/>
        <v>19</v>
      </c>
      <c r="D111" s="31"/>
      <c r="E111" s="32">
        <f t="shared" si="8"/>
        <v>5.0000000000000044E-2</v>
      </c>
      <c r="F111" s="4">
        <f t="shared" si="9"/>
        <v>7.5509621234785579E-2</v>
      </c>
    </row>
    <row r="112" spans="1:9" x14ac:dyDescent="0.25">
      <c r="A112" s="28">
        <f t="shared" si="2"/>
        <v>43938</v>
      </c>
      <c r="B112" s="29">
        <v>430</v>
      </c>
      <c r="C112" s="29">
        <f t="shared" si="7"/>
        <v>31</v>
      </c>
      <c r="D112" s="31"/>
      <c r="E112" s="32">
        <f t="shared" si="8"/>
        <v>7.7694235588972482E-2</v>
      </c>
      <c r="F112" s="4">
        <f t="shared" si="9"/>
        <v>8.105920949114076E-2</v>
      </c>
    </row>
    <row r="113" spans="1:6" x14ac:dyDescent="0.25">
      <c r="A113" s="28">
        <f t="shared" si="2"/>
        <v>43939</v>
      </c>
      <c r="B113" s="29">
        <v>460</v>
      </c>
      <c r="C113" s="29">
        <f t="shared" si="7"/>
        <v>30</v>
      </c>
      <c r="D113" s="31"/>
      <c r="E113" s="32">
        <f t="shared" si="8"/>
        <v>6.9767441860465018E-2</v>
      </c>
      <c r="F113" s="4">
        <f t="shared" si="9"/>
        <v>8.6042598195459688E-2</v>
      </c>
    </row>
    <row r="114" spans="1:6" x14ac:dyDescent="0.25">
      <c r="A114" s="28">
        <f t="shared" si="2"/>
        <v>43940</v>
      </c>
      <c r="B114" s="29">
        <v>503</v>
      </c>
      <c r="C114" s="29">
        <f t="shared" si="7"/>
        <v>43</v>
      </c>
      <c r="D114" s="31"/>
      <c r="E114" s="32">
        <f t="shared" si="8"/>
        <v>9.3478260869565233E-2</v>
      </c>
      <c r="F114" s="4">
        <f t="shared" si="9"/>
        <v>7.4862473971857205E-2</v>
      </c>
    </row>
    <row r="115" spans="1:6" x14ac:dyDescent="0.25">
      <c r="A115" s="28">
        <f t="shared" si="2"/>
        <v>43941</v>
      </c>
      <c r="B115" s="29">
        <v>525</v>
      </c>
      <c r="C115" s="29">
        <f t="shared" ref="C115:C120" si="10">B115-B114</f>
        <v>22</v>
      </c>
      <c r="D115" s="31"/>
      <c r="E115" s="32">
        <f t="shared" ref="E115:E120" si="11">B115/B114-1</f>
        <v>4.3737574552683789E-2</v>
      </c>
      <c r="F115" s="4">
        <f t="shared" ref="F115:F120" si="12">AVERAGE(E102:E115)</f>
        <v>7.4125582578902199E-2</v>
      </c>
    </row>
    <row r="116" spans="1:6" x14ac:dyDescent="0.25">
      <c r="A116" s="28">
        <f t="shared" si="2"/>
        <v>43942</v>
      </c>
      <c r="B116" s="29">
        <v>575</v>
      </c>
      <c r="C116" s="29">
        <f t="shared" si="10"/>
        <v>50</v>
      </c>
      <c r="D116" s="31"/>
      <c r="E116" s="32">
        <f t="shared" si="11"/>
        <v>9.5238095238095344E-2</v>
      </c>
      <c r="F116" s="4">
        <f t="shared" si="12"/>
        <v>7.1770794509828414E-2</v>
      </c>
    </row>
    <row r="117" spans="1:6" x14ac:dyDescent="0.25">
      <c r="A117" s="28">
        <f t="shared" si="2"/>
        <v>43943</v>
      </c>
      <c r="B117" s="29">
        <v>600</v>
      </c>
      <c r="C117" s="29">
        <f t="shared" si="10"/>
        <v>25</v>
      </c>
      <c r="D117" s="31"/>
      <c r="E117" s="32">
        <f t="shared" si="11"/>
        <v>4.3478260869565188E-2</v>
      </c>
      <c r="F117" s="4">
        <f t="shared" si="12"/>
        <v>7.1629631325186974E-2</v>
      </c>
    </row>
    <row r="118" spans="1:6" x14ac:dyDescent="0.25">
      <c r="A118" s="28">
        <f t="shared" si="2"/>
        <v>43944</v>
      </c>
      <c r="B118" s="29">
        <v>620</v>
      </c>
      <c r="C118" s="29">
        <f t="shared" si="10"/>
        <v>20</v>
      </c>
      <c r="D118" s="31"/>
      <c r="E118" s="32">
        <f t="shared" si="11"/>
        <v>3.3333333333333437E-2</v>
      </c>
      <c r="F118" s="4">
        <f t="shared" si="12"/>
        <v>7.0283875631605208E-2</v>
      </c>
    </row>
    <row r="119" spans="1:6" x14ac:dyDescent="0.25">
      <c r="A119" s="28">
        <f t="shared" si="2"/>
        <v>43945</v>
      </c>
      <c r="B119" s="29">
        <v>630</v>
      </c>
      <c r="C119" s="29">
        <f t="shared" si="10"/>
        <v>10</v>
      </c>
      <c r="D119" s="31"/>
      <c r="E119" s="32">
        <f t="shared" si="11"/>
        <v>1.6129032258064502E-2</v>
      </c>
      <c r="F119" s="4">
        <f t="shared" si="12"/>
        <v>6.9074674275776293E-2</v>
      </c>
    </row>
    <row r="120" spans="1:6" x14ac:dyDescent="0.25">
      <c r="A120" s="28">
        <f t="shared" si="2"/>
        <v>43946</v>
      </c>
      <c r="B120" s="29">
        <v>634</v>
      </c>
      <c r="C120" s="29">
        <f t="shared" si="10"/>
        <v>4</v>
      </c>
      <c r="D120" s="31"/>
      <c r="E120" s="32">
        <f t="shared" si="11"/>
        <v>6.3492063492063266E-3</v>
      </c>
      <c r="F120" s="4">
        <f t="shared" si="12"/>
        <v>6.2385331872148168E-2</v>
      </c>
    </row>
    <row r="121" spans="1:6" x14ac:dyDescent="0.25">
      <c r="A121" s="5">
        <f t="shared" si="2"/>
        <v>43947</v>
      </c>
      <c r="B121" s="8">
        <f t="shared" ref="B115:B125" ca="1" si="13">B120*(1+E121)</f>
        <v>710.08</v>
      </c>
      <c r="C121" s="8">
        <f t="shared" ca="1" si="5"/>
        <v>76.080000000000041</v>
      </c>
      <c r="E121" s="6">
        <f t="shared" ref="E117:E125" ca="1" si="14">RANDBETWEEN(10,30)*0.01</f>
        <v>0.12</v>
      </c>
    </row>
    <row r="122" spans="1:6" x14ac:dyDescent="0.25">
      <c r="A122" s="5">
        <f t="shared" si="2"/>
        <v>43948</v>
      </c>
      <c r="B122" s="8">
        <f t="shared" ca="1" si="13"/>
        <v>866.29759999999999</v>
      </c>
      <c r="C122" s="8">
        <f t="shared" ca="1" si="5"/>
        <v>156.21759999999995</v>
      </c>
      <c r="E122" s="6">
        <f t="shared" ca="1" si="14"/>
        <v>0.22</v>
      </c>
    </row>
    <row r="123" spans="1:6" x14ac:dyDescent="0.25">
      <c r="A123" s="5">
        <f t="shared" si="2"/>
        <v>43949</v>
      </c>
      <c r="B123" s="8">
        <f t="shared" ca="1" si="13"/>
        <v>1013.568192</v>
      </c>
      <c r="C123" s="8">
        <f t="shared" ca="1" si="5"/>
        <v>147.27059199999997</v>
      </c>
      <c r="E123" s="6">
        <f t="shared" ca="1" si="14"/>
        <v>0.17</v>
      </c>
    </row>
    <row r="124" spans="1:6" x14ac:dyDescent="0.25">
      <c r="A124" s="5">
        <f t="shared" si="2"/>
        <v>43950</v>
      </c>
      <c r="B124" s="8">
        <f t="shared" ca="1" si="13"/>
        <v>1226.41751232</v>
      </c>
      <c r="C124" s="8">
        <f t="shared" ca="1" si="5"/>
        <v>212.84932032000006</v>
      </c>
      <c r="E124" s="6">
        <f t="shared" ca="1" si="14"/>
        <v>0.21</v>
      </c>
    </row>
    <row r="125" spans="1:6" x14ac:dyDescent="0.25">
      <c r="A125" s="5">
        <f t="shared" si="2"/>
        <v>43951</v>
      </c>
      <c r="B125" s="8">
        <f t="shared" ca="1" si="13"/>
        <v>1349.0592635520002</v>
      </c>
      <c r="C125" s="8">
        <f t="shared" ca="1" si="5"/>
        <v>122.64175123200016</v>
      </c>
      <c r="E125" s="6">
        <f t="shared" ca="1" si="14"/>
        <v>0.1</v>
      </c>
    </row>
    <row r="126" spans="1:6" x14ac:dyDescent="0.25">
      <c r="A126" s="5"/>
      <c r="B126" s="8"/>
      <c r="C126" s="8"/>
      <c r="E126" s="6"/>
    </row>
  </sheetData>
  <hyperlinks>
    <hyperlink ref="A1" r:id="rId1" xr:uid="{D6FFDDD2-B38B-4CC8-93FC-A40676D7FBFA}"/>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0BD0-CE7B-4859-9AF3-60B287D64944}">
  <sheetPr codeName="Sheet12"/>
  <dimension ref="A1:P94"/>
  <sheetViews>
    <sheetView topLeftCell="A75" workbookViewId="0">
      <selection activeCell="C94" sqref="C94"/>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2.140625" bestFit="1" customWidth="1"/>
  </cols>
  <sheetData>
    <row r="1" spans="1:16" x14ac:dyDescent="0.25">
      <c r="A1" s="26">
        <v>43913</v>
      </c>
      <c r="B1" s="11" t="s">
        <v>89</v>
      </c>
    </row>
    <row r="2" spans="1:16" x14ac:dyDescent="0.25">
      <c r="B2" t="s">
        <v>56</v>
      </c>
      <c r="C2" t="s">
        <v>43</v>
      </c>
      <c r="D2" t="s">
        <v>28</v>
      </c>
      <c r="E2" t="s">
        <v>44</v>
      </c>
      <c r="F2" t="s">
        <v>29</v>
      </c>
      <c r="G2" t="s">
        <v>39</v>
      </c>
      <c r="H2" t="s">
        <v>30</v>
      </c>
      <c r="I2" t="s">
        <v>40</v>
      </c>
      <c r="J2" t="s">
        <v>79</v>
      </c>
      <c r="K2" t="s">
        <v>109</v>
      </c>
      <c r="L2" t="s">
        <v>45</v>
      </c>
      <c r="M2" t="s">
        <v>17</v>
      </c>
      <c r="N2" t="s">
        <v>95</v>
      </c>
      <c r="O2" t="s">
        <v>16</v>
      </c>
    </row>
    <row r="3" spans="1:16" x14ac:dyDescent="0.25">
      <c r="A3" t="s">
        <v>71</v>
      </c>
      <c r="B3" s="26">
        <v>43786</v>
      </c>
      <c r="C3" s="26">
        <v>43481</v>
      </c>
      <c r="D3" s="26">
        <v>43496</v>
      </c>
      <c r="E3" s="26">
        <v>43496</v>
      </c>
      <c r="F3" s="26">
        <v>43486</v>
      </c>
      <c r="G3" s="26">
        <v>43485</v>
      </c>
      <c r="H3" s="26">
        <v>43496</v>
      </c>
      <c r="I3" s="26">
        <v>43490</v>
      </c>
      <c r="J3" s="26">
        <v>43515</v>
      </c>
      <c r="K3" s="26">
        <v>43489</v>
      </c>
      <c r="L3" s="26">
        <v>43490</v>
      </c>
      <c r="M3" s="26">
        <v>43490</v>
      </c>
      <c r="N3" s="26">
        <v>43490</v>
      </c>
      <c r="O3" s="26">
        <v>43529</v>
      </c>
    </row>
    <row r="4" spans="1:16" x14ac:dyDescent="0.25">
      <c r="A4" t="s">
        <v>70</v>
      </c>
      <c r="B4">
        <v>128</v>
      </c>
      <c r="C4">
        <v>68</v>
      </c>
      <c r="D4">
        <v>53</v>
      </c>
      <c r="E4">
        <v>53</v>
      </c>
      <c r="F4">
        <v>63</v>
      </c>
      <c r="G4">
        <v>63</v>
      </c>
      <c r="H4">
        <v>53</v>
      </c>
      <c r="I4">
        <v>59</v>
      </c>
      <c r="J4">
        <v>34</v>
      </c>
      <c r="K4">
        <v>34</v>
      </c>
      <c r="L4">
        <v>59</v>
      </c>
      <c r="M4">
        <v>59</v>
      </c>
      <c r="N4">
        <v>59</v>
      </c>
      <c r="O4">
        <v>19</v>
      </c>
    </row>
    <row r="5" spans="1:16" x14ac:dyDescent="0.25">
      <c r="A5" t="s">
        <v>33</v>
      </c>
    </row>
    <row r="6" spans="1:16" x14ac:dyDescent="0.25">
      <c r="A6" t="s">
        <v>32</v>
      </c>
      <c r="B6" s="7">
        <v>142823000</v>
      </c>
      <c r="C6" s="7">
        <v>126800000</v>
      </c>
      <c r="D6" s="7">
        <v>60480000</v>
      </c>
      <c r="E6" s="7">
        <v>46660000</v>
      </c>
      <c r="F6" s="7">
        <v>327200000</v>
      </c>
      <c r="G6" s="7">
        <v>51470000</v>
      </c>
      <c r="H6" s="7">
        <v>66440000</v>
      </c>
      <c r="I6" s="7">
        <v>24600000</v>
      </c>
      <c r="J6" s="7">
        <v>81160000</v>
      </c>
      <c r="K6" s="7">
        <v>66990000</v>
      </c>
      <c r="L6" s="7">
        <v>37590000</v>
      </c>
      <c r="M6" s="7">
        <v>14659616</v>
      </c>
      <c r="N6" s="7">
        <v>2930000</v>
      </c>
      <c r="O6" s="7">
        <v>552714.5</v>
      </c>
    </row>
    <row r="7" spans="1:16" x14ac:dyDescent="0.25">
      <c r="A7" t="s">
        <v>55</v>
      </c>
      <c r="B7" s="4">
        <v>0.11</v>
      </c>
      <c r="C7" s="4">
        <v>0.28000000000000003</v>
      </c>
      <c r="D7" s="4">
        <v>0.23</v>
      </c>
      <c r="E7" s="4">
        <v>0.19</v>
      </c>
      <c r="F7" s="4">
        <v>0.16</v>
      </c>
      <c r="G7" s="4">
        <v>0.14000000000000001</v>
      </c>
      <c r="H7" s="4">
        <v>0.18</v>
      </c>
      <c r="I7" s="4">
        <v>0.16</v>
      </c>
      <c r="J7" s="4">
        <v>6.2E-2</v>
      </c>
      <c r="K7" s="4">
        <v>0.2</v>
      </c>
      <c r="L7" s="4">
        <v>0.17</v>
      </c>
      <c r="M7" s="4">
        <v>0.17</v>
      </c>
      <c r="N7" s="4">
        <v>0.14000000000000001</v>
      </c>
      <c r="O7" s="4">
        <v>0.14000000000000001</v>
      </c>
    </row>
    <row r="9" spans="1:16" x14ac:dyDescent="0.25">
      <c r="A9" t="s">
        <v>31</v>
      </c>
      <c r="B9" s="30">
        <v>81601</v>
      </c>
      <c r="C9" s="30">
        <v>1089</v>
      </c>
      <c r="D9" s="30">
        <v>59138</v>
      </c>
      <c r="E9" s="30">
        <v>28572</v>
      </c>
      <c r="F9" s="30">
        <v>31573</v>
      </c>
      <c r="G9" s="30">
        <v>8961</v>
      </c>
      <c r="H9" s="30">
        <v>5687</v>
      </c>
      <c r="I9" s="30">
        <v>1396</v>
      </c>
      <c r="J9" s="30">
        <v>21638</v>
      </c>
      <c r="K9" s="30">
        <v>15821</v>
      </c>
      <c r="L9" s="30">
        <v>1646</v>
      </c>
      <c r="M9" s="30">
        <v>503</v>
      </c>
      <c r="N9" s="30">
        <v>239</v>
      </c>
      <c r="O9" s="30">
        <v>32</v>
      </c>
      <c r="P9" s="1"/>
    </row>
    <row r="10" spans="1:16" x14ac:dyDescent="0.25">
      <c r="A10" t="s">
        <v>34</v>
      </c>
      <c r="B10" s="30"/>
      <c r="C10" s="30"/>
      <c r="D10" s="30"/>
      <c r="E10" s="30"/>
      <c r="F10" s="30"/>
      <c r="G10" s="30"/>
      <c r="H10" s="30"/>
      <c r="I10" s="30"/>
      <c r="J10" s="30"/>
      <c r="K10" s="30"/>
      <c r="L10" s="30"/>
      <c r="M10" s="30"/>
      <c r="N10" s="30"/>
      <c r="O10" s="30"/>
    </row>
    <row r="11" spans="1:16" x14ac:dyDescent="0.25">
      <c r="A11" t="s">
        <v>35</v>
      </c>
      <c r="B11" s="30">
        <v>3276</v>
      </c>
      <c r="C11" s="30">
        <v>41</v>
      </c>
      <c r="D11" s="30">
        <v>5476</v>
      </c>
      <c r="E11" s="30">
        <v>1720</v>
      </c>
      <c r="F11" s="30">
        <v>402</v>
      </c>
      <c r="G11" s="30">
        <v>111</v>
      </c>
      <c r="H11" s="30">
        <v>281</v>
      </c>
      <c r="I11" s="30">
        <v>7</v>
      </c>
      <c r="J11" s="30">
        <v>1685</v>
      </c>
      <c r="K11" s="30">
        <v>674</v>
      </c>
      <c r="L11" s="30">
        <v>24</v>
      </c>
      <c r="M11" s="30">
        <v>6</v>
      </c>
      <c r="N11" s="30">
        <v>1</v>
      </c>
      <c r="O11" s="30">
        <v>0</v>
      </c>
    </row>
    <row r="13" spans="1:16" x14ac:dyDescent="0.25">
      <c r="A13" t="s">
        <v>36</v>
      </c>
    </row>
    <row r="14" spans="1:16" x14ac:dyDescent="0.25">
      <c r="A14" t="s">
        <v>34</v>
      </c>
    </row>
    <row r="15" spans="1:16" x14ac:dyDescent="0.25">
      <c r="A15" t="s">
        <v>35</v>
      </c>
      <c r="B15" s="1">
        <f>B11/B9</f>
        <v>4.0146566831288831E-2</v>
      </c>
      <c r="C15" s="1">
        <f t="shared" ref="C15:O15" si="0">C11/C9</f>
        <v>3.7649219467401289E-2</v>
      </c>
      <c r="D15" s="1">
        <f t="shared" si="0"/>
        <v>9.2596976563292632E-2</v>
      </c>
      <c r="E15" s="1">
        <f t="shared" si="0"/>
        <v>6.0198796024079515E-2</v>
      </c>
      <c r="F15" s="1">
        <f t="shared" si="0"/>
        <v>1.2732397934944415E-2</v>
      </c>
      <c r="G15" s="1">
        <f t="shared" si="0"/>
        <v>1.2387010378305993E-2</v>
      </c>
      <c r="H15" s="1">
        <f t="shared" si="0"/>
        <v>4.941093722525057E-2</v>
      </c>
      <c r="I15" s="1">
        <f t="shared" si="0"/>
        <v>5.0143266475644703E-3</v>
      </c>
      <c r="J15" s="1">
        <f t="shared" si="0"/>
        <v>7.7872261761715494E-2</v>
      </c>
      <c r="K15" s="1">
        <f t="shared" si="0"/>
        <v>4.2601605461096009E-2</v>
      </c>
      <c r="L15" s="1">
        <f t="shared" si="0"/>
        <v>1.4580801944106925E-2</v>
      </c>
      <c r="M15" s="1">
        <f t="shared" si="0"/>
        <v>1.1928429423459244E-2</v>
      </c>
      <c r="N15" s="1">
        <f t="shared" si="0"/>
        <v>4.1841004184100415E-3</v>
      </c>
      <c r="O15" s="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t="s">
        <v>58</v>
      </c>
      <c r="B18" s="1">
        <v>0.15</v>
      </c>
      <c r="C18" s="1"/>
      <c r="D18" s="1">
        <v>0.56000000000000005</v>
      </c>
      <c r="E18" s="1"/>
      <c r="F18" s="1"/>
      <c r="G18" s="1"/>
      <c r="H18" s="1"/>
      <c r="I18" s="1"/>
      <c r="J18" s="1"/>
      <c r="K18" s="1"/>
      <c r="L18" s="1">
        <v>0.13</v>
      </c>
      <c r="M18" s="1"/>
      <c r="N18" s="1">
        <v>0.06</v>
      </c>
    </row>
    <row r="19" spans="1:15" x14ac:dyDescent="0.25">
      <c r="A19" t="s">
        <v>59</v>
      </c>
      <c r="B19" s="1">
        <v>0.05</v>
      </c>
      <c r="C19" s="1"/>
      <c r="D19" s="1">
        <v>0.1</v>
      </c>
      <c r="E19" s="1"/>
      <c r="F19" s="1"/>
      <c r="G19" s="1"/>
      <c r="H19" s="1"/>
      <c r="I19" s="1"/>
      <c r="J19" s="1"/>
      <c r="K19" s="1"/>
      <c r="L19" s="1"/>
      <c r="M19" s="1"/>
      <c r="N19" s="1">
        <v>0.04</v>
      </c>
    </row>
    <row r="20" spans="1:15" x14ac:dyDescent="0.25">
      <c r="B20" s="1"/>
      <c r="C20" s="1"/>
      <c r="D20" s="1"/>
      <c r="E20" s="1"/>
      <c r="F20" s="1"/>
      <c r="G20" s="1"/>
      <c r="H20" s="1"/>
      <c r="I20" s="1"/>
      <c r="J20" s="1"/>
      <c r="K20" s="1"/>
      <c r="L20" s="1"/>
      <c r="M20" s="1"/>
      <c r="N20" s="1"/>
    </row>
    <row r="22" spans="1:15" x14ac:dyDescent="0.25">
      <c r="A22" t="s">
        <v>42</v>
      </c>
    </row>
    <row r="23" spans="1:15" x14ac:dyDescent="0.25">
      <c r="A23" t="s">
        <v>41</v>
      </c>
      <c r="B23" s="7">
        <f t="shared" ref="B23:N23" si="1">B9/B6*100000</f>
        <v>57.134355110871496</v>
      </c>
      <c r="C23" s="7">
        <f t="shared" si="1"/>
        <v>0.85883280757097791</v>
      </c>
      <c r="D23" s="7">
        <f t="shared" si="1"/>
        <v>97.781084656084658</v>
      </c>
      <c r="E23" s="7">
        <f t="shared" si="1"/>
        <v>61.234462066009428</v>
      </c>
      <c r="F23" s="7">
        <f t="shared" si="1"/>
        <v>9.6494498777506124</v>
      </c>
      <c r="G23" s="7">
        <f t="shared" si="1"/>
        <v>17.410141830192345</v>
      </c>
      <c r="H23" s="7">
        <f t="shared" si="1"/>
        <v>8.5596026490066226</v>
      </c>
      <c r="I23" s="7">
        <f t="shared" si="1"/>
        <v>5.6747967479674797</v>
      </c>
      <c r="J23" s="7">
        <f t="shared" si="1"/>
        <v>26.660916707737805</v>
      </c>
      <c r="K23" s="7">
        <f t="shared" si="1"/>
        <v>23.616957754888787</v>
      </c>
      <c r="L23" s="7">
        <f t="shared" si="1"/>
        <v>4.3788241553604683</v>
      </c>
      <c r="M23" s="7">
        <f t="shared" si="1"/>
        <v>3.4311949235232353</v>
      </c>
      <c r="N23" s="7">
        <f t="shared" si="1"/>
        <v>8.1569965870307168</v>
      </c>
      <c r="O23" s="8">
        <f>D23*$O$6/100000</f>
        <v>540.45023315145511</v>
      </c>
    </row>
    <row r="24" spans="1:15" x14ac:dyDescent="0.25">
      <c r="A24" t="s">
        <v>34</v>
      </c>
      <c r="O24" s="27">
        <f>O23*D18</f>
        <v>302.65213056481491</v>
      </c>
    </row>
    <row r="25" spans="1:15" x14ac:dyDescent="0.25">
      <c r="A25" t="s">
        <v>35</v>
      </c>
      <c r="B25" s="7">
        <f>B11/B6*100000</f>
        <v>2.2937482058211911</v>
      </c>
      <c r="C25" s="7">
        <f t="shared" ref="C25:N25" si="2">C11/C6*100000</f>
        <v>3.2334384858044164E-2</v>
      </c>
      <c r="D25" s="7">
        <f t="shared" si="2"/>
        <v>9.0542328042328037</v>
      </c>
      <c r="E25" s="7">
        <f t="shared" si="2"/>
        <v>3.6862408915559368</v>
      </c>
      <c r="F25" s="7">
        <f t="shared" si="2"/>
        <v>0.12286063569682151</v>
      </c>
      <c r="G25" s="7">
        <f t="shared" si="2"/>
        <v>0.21565960753837188</v>
      </c>
      <c r="H25" s="7">
        <f t="shared" si="2"/>
        <v>0.42293798916315473</v>
      </c>
      <c r="I25" s="7">
        <f t="shared" si="2"/>
        <v>2.8455284552845527E-2</v>
      </c>
      <c r="J25" s="7">
        <f t="shared" si="2"/>
        <v>2.0761458846722523</v>
      </c>
      <c r="K25" s="7">
        <f t="shared" si="2"/>
        <v>1.006120316465144</v>
      </c>
      <c r="L25" s="7">
        <f t="shared" si="2"/>
        <v>6.3846767757382281E-2</v>
      </c>
      <c r="M25" s="7">
        <f t="shared" si="2"/>
        <v>4.0928766483378551E-2</v>
      </c>
      <c r="N25" s="7">
        <f t="shared" si="2"/>
        <v>3.4129692832764506E-2</v>
      </c>
      <c r="O25" s="8">
        <f>D25*$O$6/100000</f>
        <v>50.044057572751328</v>
      </c>
    </row>
    <row r="26" spans="1:15" x14ac:dyDescent="0.25">
      <c r="N26" s="1"/>
      <c r="O26" s="27">
        <f>O23*D19</f>
        <v>54.045023315145514</v>
      </c>
    </row>
    <row r="28" spans="1:15" x14ac:dyDescent="0.25">
      <c r="A28" s="10" t="s">
        <v>74</v>
      </c>
    </row>
    <row r="31" spans="1:15" x14ac:dyDescent="0.25">
      <c r="A31" t="s">
        <v>48</v>
      </c>
      <c r="B31" s="7">
        <f>B23*$L$6/100000</f>
        <v>21476.804086176595</v>
      </c>
      <c r="C31" s="7">
        <f t="shared" ref="C31:N31" si="3">C23*$L$6/100000</f>
        <v>322.83525236593061</v>
      </c>
      <c r="D31" s="7">
        <f t="shared" si="3"/>
        <v>36755.909722222226</v>
      </c>
      <c r="E31" s="7">
        <f t="shared" si="3"/>
        <v>23018.034290612944</v>
      </c>
      <c r="F31" s="7">
        <f t="shared" si="3"/>
        <v>3627.228209046455</v>
      </c>
      <c r="G31" s="7">
        <f t="shared" si="3"/>
        <v>6544.4723139693024</v>
      </c>
      <c r="H31" s="7">
        <f t="shared" si="3"/>
        <v>3217.5546357615895</v>
      </c>
      <c r="I31" s="7">
        <f t="shared" si="3"/>
        <v>2133.1560975609755</v>
      </c>
      <c r="J31" s="7">
        <f t="shared" si="3"/>
        <v>10021.838590438641</v>
      </c>
      <c r="K31" s="7"/>
      <c r="L31" s="7">
        <f t="shared" si="3"/>
        <v>1646</v>
      </c>
      <c r="M31" s="7">
        <f t="shared" si="3"/>
        <v>1289.7861717523842</v>
      </c>
      <c r="N31" s="7">
        <f t="shared" si="3"/>
        <v>3066.215017064847</v>
      </c>
    </row>
    <row r="32" spans="1:15" x14ac:dyDescent="0.25">
      <c r="B32" s="7"/>
      <c r="C32" s="7"/>
      <c r="D32" s="7"/>
      <c r="E32" s="7"/>
      <c r="F32" s="7"/>
      <c r="G32" s="7"/>
      <c r="H32" s="7"/>
      <c r="I32" s="7"/>
      <c r="J32" s="7"/>
      <c r="K32" s="7"/>
      <c r="L32" s="7"/>
      <c r="M32" s="7"/>
      <c r="N32" s="7"/>
    </row>
    <row r="33" spans="1:14" x14ac:dyDescent="0.25">
      <c r="A33" t="s">
        <v>49</v>
      </c>
      <c r="B33" s="7">
        <f>B25*$L$6/100000</f>
        <v>862.21995056818571</v>
      </c>
      <c r="C33" s="7">
        <f t="shared" ref="C33:N33" si="4">C25*$L$6/100000</f>
        <v>12.154495268138801</v>
      </c>
      <c r="D33" s="7">
        <f t="shared" si="4"/>
        <v>3403.4861111111109</v>
      </c>
      <c r="E33" s="7">
        <f t="shared" si="4"/>
        <v>1385.6579511358768</v>
      </c>
      <c r="F33" s="7">
        <f t="shared" si="4"/>
        <v>46.183312958435209</v>
      </c>
      <c r="G33" s="7">
        <f t="shared" si="4"/>
        <v>81.066446473673992</v>
      </c>
      <c r="H33" s="7">
        <f t="shared" si="4"/>
        <v>158.98239012642986</v>
      </c>
      <c r="I33" s="7">
        <f t="shared" si="4"/>
        <v>10.696341463414633</v>
      </c>
      <c r="J33" s="7">
        <f t="shared" si="4"/>
        <v>780.42323804829959</v>
      </c>
      <c r="K33" s="7"/>
      <c r="L33" s="7">
        <f t="shared" si="4"/>
        <v>24</v>
      </c>
      <c r="M33" s="7">
        <f t="shared" si="4"/>
        <v>15.385123321101997</v>
      </c>
      <c r="N33" s="7">
        <f t="shared" si="4"/>
        <v>12.829351535836178</v>
      </c>
    </row>
    <row r="35" spans="1:14" x14ac:dyDescent="0.25">
      <c r="A35" t="s">
        <v>48</v>
      </c>
      <c r="B35" t="s">
        <v>75</v>
      </c>
    </row>
    <row r="36" spans="1:14" x14ac:dyDescent="0.25">
      <c r="A36" t="s">
        <v>50</v>
      </c>
      <c r="B36" s="7">
        <f>MIN($B$31:$M$31)</f>
        <v>322.83525236593061</v>
      </c>
      <c r="C36" s="7"/>
    </row>
    <row r="37" spans="1:14" x14ac:dyDescent="0.25">
      <c r="A37" t="s">
        <v>51</v>
      </c>
      <c r="B37" s="7">
        <f>MAX(B31:M31)</f>
        <v>36755.909722222226</v>
      </c>
      <c r="C37">
        <f>B37*1.6%</f>
        <v>588.09455555555564</v>
      </c>
      <c r="D37" t="s">
        <v>78</v>
      </c>
    </row>
    <row r="39" spans="1:14" x14ac:dyDescent="0.25">
      <c r="A39" t="s">
        <v>49</v>
      </c>
    </row>
    <row r="40" spans="1:14" x14ac:dyDescent="0.25">
      <c r="A40" t="s">
        <v>50</v>
      </c>
      <c r="B40" s="7">
        <f>MIN(B33:M33)</f>
        <v>10.696341463414633</v>
      </c>
    </row>
    <row r="41" spans="1:14" x14ac:dyDescent="0.25">
      <c r="A41" t="s">
        <v>51</v>
      </c>
      <c r="B41" s="7">
        <f>MAX($B$33:$M$33)</f>
        <v>3403.4861111111109</v>
      </c>
      <c r="C41">
        <f>B41*1.6%</f>
        <v>54.455777777777776</v>
      </c>
      <c r="D41" t="s">
        <v>78</v>
      </c>
    </row>
    <row r="42" spans="1:14" x14ac:dyDescent="0.25">
      <c r="B42" s="7"/>
    </row>
    <row r="43" spans="1:14" x14ac:dyDescent="0.25">
      <c r="A43" t="s">
        <v>63</v>
      </c>
      <c r="B43" s="7" t="s">
        <v>65</v>
      </c>
      <c r="C43" t="s">
        <v>66</v>
      </c>
    </row>
    <row r="44" spans="1:14" x14ac:dyDescent="0.25">
      <c r="A44" t="s">
        <v>50</v>
      </c>
      <c r="B44" s="7">
        <f>B18*L9</f>
        <v>246.89999999999998</v>
      </c>
      <c r="C44" s="7">
        <f>B36*B18</f>
        <v>48.425287854889589</v>
      </c>
    </row>
    <row r="45" spans="1:14" x14ac:dyDescent="0.25">
      <c r="A45" t="s">
        <v>51</v>
      </c>
      <c r="B45" s="7">
        <f>L9*D18</f>
        <v>921.7600000000001</v>
      </c>
      <c r="C45" s="7">
        <f>B37*D18</f>
        <v>20583.309444444447</v>
      </c>
      <c r="D45">
        <f>C45*1.6%</f>
        <v>329.33295111111113</v>
      </c>
      <c r="E45" t="s">
        <v>78</v>
      </c>
    </row>
    <row r="46" spans="1:14" x14ac:dyDescent="0.25">
      <c r="B46" s="7"/>
    </row>
    <row r="47" spans="1:14" x14ac:dyDescent="0.25">
      <c r="A47" t="s">
        <v>64</v>
      </c>
      <c r="B47" s="7" t="s">
        <v>77</v>
      </c>
      <c r="C47" t="s">
        <v>76</v>
      </c>
    </row>
    <row r="48" spans="1:14" x14ac:dyDescent="0.25">
      <c r="A48" t="s">
        <v>50</v>
      </c>
      <c r="B48" s="7"/>
    </row>
    <row r="49" spans="1:14" x14ac:dyDescent="0.25">
      <c r="A49" t="s">
        <v>51</v>
      </c>
      <c r="B49" s="7">
        <f>L9*D19</f>
        <v>164.60000000000002</v>
      </c>
      <c r="C49" s="7">
        <f>B37*D19</f>
        <v>3675.5909722222227</v>
      </c>
      <c r="D49">
        <f>C49*1.6%</f>
        <v>58.809455555555566</v>
      </c>
      <c r="E49" t="s">
        <v>78</v>
      </c>
    </row>
    <row r="52" spans="1:14" x14ac:dyDescent="0.25">
      <c r="A52" s="10" t="s">
        <v>47</v>
      </c>
    </row>
    <row r="54" spans="1:14" x14ac:dyDescent="0.25">
      <c r="A54" t="s">
        <v>48</v>
      </c>
      <c r="B54" s="7">
        <f>B23*$M$6/100000</f>
        <v>8375.6770633301348</v>
      </c>
      <c r="C54" s="7">
        <f t="shared" ref="C54:M54" si="5">C23*$M$6/100000</f>
        <v>125.90159167192429</v>
      </c>
      <c r="D54" s="7">
        <f t="shared" si="5"/>
        <v>14334.331531216931</v>
      </c>
      <c r="E54" s="7">
        <f t="shared" si="5"/>
        <v>8976.7369985426485</v>
      </c>
      <c r="F54" s="7">
        <f t="shared" si="5"/>
        <v>1414.5722981907093</v>
      </c>
      <c r="G54" s="7">
        <f t="shared" si="5"/>
        <v>2552.2599373615699</v>
      </c>
      <c r="H54" s="7">
        <f t="shared" si="5"/>
        <v>1254.8048794701988</v>
      </c>
      <c r="I54" s="7">
        <f t="shared" si="5"/>
        <v>831.90341203252035</v>
      </c>
      <c r="J54" s="7">
        <f t="shared" si="5"/>
        <v>3908.3880114342046</v>
      </c>
      <c r="K54" s="7">
        <f t="shared" si="5"/>
        <v>3462.1553177489172</v>
      </c>
      <c r="L54" s="7">
        <f t="shared" si="5"/>
        <v>641.91880649108805</v>
      </c>
      <c r="M54" s="7">
        <f t="shared" si="5"/>
        <v>503</v>
      </c>
      <c r="N54" s="7"/>
    </row>
    <row r="55" spans="1:14" x14ac:dyDescent="0.25">
      <c r="B55" s="7"/>
      <c r="C55" s="7"/>
      <c r="D55" s="7"/>
      <c r="E55" s="7"/>
      <c r="F55" s="7"/>
      <c r="G55" s="7"/>
      <c r="H55" s="7"/>
      <c r="I55" s="7"/>
      <c r="J55" s="7"/>
      <c r="K55" s="7"/>
      <c r="L55" s="7"/>
      <c r="M55" s="7"/>
      <c r="N55" s="7"/>
    </row>
    <row r="56" spans="1:14" x14ac:dyDescent="0.25">
      <c r="A56" t="s">
        <v>49</v>
      </c>
      <c r="B56" s="7">
        <f t="shared" ref="B56:M56" si="6">B25*$M$6/100000</f>
        <v>336.25467898027631</v>
      </c>
      <c r="C56" s="7">
        <f t="shared" si="6"/>
        <v>4.7400966561514197</v>
      </c>
      <c r="D56" s="7">
        <f t="shared" si="6"/>
        <v>1327.3157608465608</v>
      </c>
      <c r="E56" s="7">
        <f t="shared" si="6"/>
        <v>540.38875953707668</v>
      </c>
      <c r="F56" s="7">
        <f t="shared" si="6"/>
        <v>18.010897408312957</v>
      </c>
      <c r="G56" s="7">
        <f t="shared" si="6"/>
        <v>31.614870332232368</v>
      </c>
      <c r="H56" s="7">
        <f t="shared" si="6"/>
        <v>62.001085129440099</v>
      </c>
      <c r="I56" s="7">
        <f t="shared" si="6"/>
        <v>4.1714354471544715</v>
      </c>
      <c r="J56" s="7">
        <f t="shared" si="6"/>
        <v>304.35501429275507</v>
      </c>
      <c r="K56" s="7">
        <f t="shared" si="6"/>
        <v>147.49337489177489</v>
      </c>
      <c r="L56" s="7">
        <f t="shared" si="6"/>
        <v>9.3596909816440537</v>
      </c>
      <c r="M56" s="7">
        <f t="shared" si="6"/>
        <v>5.9999999999999991</v>
      </c>
      <c r="N56" s="7"/>
    </row>
    <row r="58" spans="1:14" x14ac:dyDescent="0.25">
      <c r="A58" t="s">
        <v>48</v>
      </c>
    </row>
    <row r="59" spans="1:14" x14ac:dyDescent="0.25">
      <c r="A59" t="s">
        <v>50</v>
      </c>
      <c r="B59" s="7">
        <f>MIN($B$54:$M$54)</f>
        <v>125.90159167192429</v>
      </c>
    </row>
    <row r="60" spans="1:14" x14ac:dyDescent="0.25">
      <c r="A60" t="s">
        <v>51</v>
      </c>
      <c r="B60" s="7">
        <f>MAX($B$54:$M$54)</f>
        <v>14334.331531216931</v>
      </c>
    </row>
    <row r="62" spans="1:14" x14ac:dyDescent="0.25">
      <c r="A62" t="s">
        <v>49</v>
      </c>
    </row>
    <row r="63" spans="1:14" x14ac:dyDescent="0.25">
      <c r="A63" t="s">
        <v>50</v>
      </c>
      <c r="B63" s="7">
        <f>MIN($B$56:$M$56)</f>
        <v>4.1714354471544715</v>
      </c>
    </row>
    <row r="64" spans="1:14" x14ac:dyDescent="0.25">
      <c r="A64" t="s">
        <v>51</v>
      </c>
      <c r="B64" s="7">
        <f>MAX($B$56:$M$56)</f>
        <v>1327.3157608465608</v>
      </c>
    </row>
    <row r="65" spans="1:14" x14ac:dyDescent="0.25">
      <c r="B65" s="7"/>
    </row>
    <row r="66" spans="1:14" x14ac:dyDescent="0.25">
      <c r="A66" t="s">
        <v>63</v>
      </c>
      <c r="B66" s="7" t="s">
        <v>77</v>
      </c>
      <c r="C66" t="s">
        <v>76</v>
      </c>
    </row>
    <row r="67" spans="1:14" x14ac:dyDescent="0.25">
      <c r="A67" t="s">
        <v>50</v>
      </c>
      <c r="B67" s="7">
        <f>B18*M9</f>
        <v>75.45</v>
      </c>
    </row>
    <row r="68" spans="1:14" x14ac:dyDescent="0.25">
      <c r="A68" t="s">
        <v>51</v>
      </c>
      <c r="B68" s="7">
        <f>D18*M9</f>
        <v>281.68</v>
      </c>
      <c r="C68" s="7">
        <f>B60*D18</f>
        <v>8027.2256574814819</v>
      </c>
    </row>
    <row r="69" spans="1:14" x14ac:dyDescent="0.25">
      <c r="B69" s="7"/>
    </row>
    <row r="70" spans="1:14" x14ac:dyDescent="0.25">
      <c r="A70" t="s">
        <v>64</v>
      </c>
      <c r="B70" s="7" t="s">
        <v>77</v>
      </c>
      <c r="C70" t="s">
        <v>76</v>
      </c>
    </row>
    <row r="71" spans="1:14" x14ac:dyDescent="0.25">
      <c r="A71" t="s">
        <v>50</v>
      </c>
      <c r="B71" s="7">
        <f>B19*M9</f>
        <v>25.150000000000002</v>
      </c>
    </row>
    <row r="72" spans="1:14" x14ac:dyDescent="0.25">
      <c r="A72" t="s">
        <v>51</v>
      </c>
      <c r="B72">
        <f>D19*M9</f>
        <v>50.300000000000004</v>
      </c>
      <c r="C72" s="7">
        <f>B60*D19</f>
        <v>1433.4331531216931</v>
      </c>
    </row>
    <row r="74" spans="1:14" x14ac:dyDescent="0.25">
      <c r="A74" s="10" t="s">
        <v>52</v>
      </c>
    </row>
    <row r="76" spans="1:14" x14ac:dyDescent="0.25">
      <c r="A76" t="s">
        <v>48</v>
      </c>
      <c r="B76" s="7">
        <f>B23*$O$6/100000</f>
        <v>315.78986517927785</v>
      </c>
      <c r="C76" s="7">
        <f t="shared" ref="C76:M78" si="7">C23*$O$6/100000</f>
        <v>4.7468934582018925</v>
      </c>
      <c r="D76" s="7">
        <f t="shared" si="7"/>
        <v>540.45023315145511</v>
      </c>
      <c r="E76" s="7">
        <f t="shared" si="7"/>
        <v>338.45175083583371</v>
      </c>
      <c r="F76" s="7">
        <f t="shared" si="7"/>
        <v>53.333908644559905</v>
      </c>
      <c r="G76" s="7">
        <f t="shared" si="7"/>
        <v>96.22837836603847</v>
      </c>
      <c r="H76" s="7">
        <f t="shared" si="7"/>
        <v>47.310164983443713</v>
      </c>
      <c r="I76" s="7">
        <f t="shared" si="7"/>
        <v>31.365424471544717</v>
      </c>
      <c r="J76" s="7">
        <f t="shared" si="7"/>
        <v>147.35875247658947</v>
      </c>
      <c r="K76" s="7">
        <f t="shared" si="7"/>
        <v>130.53434997014477</v>
      </c>
      <c r="L76" s="7">
        <f t="shared" si="7"/>
        <v>24.202396036179834</v>
      </c>
      <c r="M76" s="7">
        <f t="shared" si="7"/>
        <v>18.964711865576831</v>
      </c>
      <c r="N76" s="7"/>
    </row>
    <row r="77" spans="1:14" x14ac:dyDescent="0.25">
      <c r="B77" s="7"/>
      <c r="C77" s="7"/>
      <c r="D77" s="7"/>
      <c r="E77" s="7"/>
      <c r="F77" s="7"/>
      <c r="G77" s="7"/>
      <c r="H77" s="7"/>
      <c r="I77" s="7"/>
      <c r="J77" s="7"/>
      <c r="K77" s="7"/>
      <c r="L77" s="7"/>
      <c r="M77" s="7"/>
      <c r="N77" s="7"/>
    </row>
    <row r="78" spans="1:14" x14ac:dyDescent="0.25">
      <c r="A78" t="s">
        <v>49</v>
      </c>
      <c r="B78" s="7">
        <f>B25*$O$6/100000</f>
        <v>12.677878927063567</v>
      </c>
      <c r="C78" s="7">
        <f t="shared" si="7"/>
        <v>0.17871683359621454</v>
      </c>
      <c r="D78" s="7">
        <f t="shared" si="7"/>
        <v>50.044057572751328</v>
      </c>
      <c r="E78" s="7">
        <f t="shared" si="7"/>
        <v>20.374387912558937</v>
      </c>
      <c r="F78" s="7">
        <f t="shared" si="7"/>
        <v>0.6790685482885086</v>
      </c>
      <c r="G78" s="7">
        <f t="shared" si="7"/>
        <v>1.1919819215076743</v>
      </c>
      <c r="H78" s="7">
        <f t="shared" si="7"/>
        <v>2.3376395921131849</v>
      </c>
      <c r="I78" s="7">
        <f t="shared" si="7"/>
        <v>0.15727648373983738</v>
      </c>
      <c r="J78" s="7">
        <f t="shared" si="7"/>
        <v>11.475159345736815</v>
      </c>
      <c r="K78" s="7">
        <f t="shared" si="7"/>
        <v>5.5609728765487381</v>
      </c>
      <c r="L78" s="7">
        <f t="shared" si="7"/>
        <v>0.35289034317637669</v>
      </c>
      <c r="M78" s="7">
        <f t="shared" si="7"/>
        <v>0.22621922702477334</v>
      </c>
      <c r="N78" s="7"/>
    </row>
    <row r="80" spans="1:14" x14ac:dyDescent="0.25">
      <c r="A80" t="s">
        <v>48</v>
      </c>
      <c r="B80" t="s">
        <v>72</v>
      </c>
      <c r="C80" t="s">
        <v>73</v>
      </c>
    </row>
    <row r="81" spans="1:3" x14ac:dyDescent="0.25">
      <c r="A81" t="s">
        <v>50</v>
      </c>
      <c r="B81" s="7">
        <f>MIN($B$76:$M$76)</f>
        <v>4.7468934582018925</v>
      </c>
      <c r="C81" s="7">
        <f>MIN($C$76:$M$76)</f>
        <v>4.7468934582018925</v>
      </c>
    </row>
    <row r="82" spans="1:3" x14ac:dyDescent="0.25">
      <c r="A82" t="s">
        <v>51</v>
      </c>
      <c r="B82" s="7">
        <f>MAX($B$76:$M$76)</f>
        <v>540.45023315145511</v>
      </c>
      <c r="C82" s="7">
        <f>MAX($C$76:$M$76)</f>
        <v>540.45023315145511</v>
      </c>
    </row>
    <row r="84" spans="1:3" x14ac:dyDescent="0.25">
      <c r="A84" t="s">
        <v>49</v>
      </c>
    </row>
    <row r="85" spans="1:3" x14ac:dyDescent="0.25">
      <c r="A85" t="s">
        <v>50</v>
      </c>
      <c r="B85" s="7">
        <f>MIN($B$78:$M$78)</f>
        <v>0.15727648373983738</v>
      </c>
      <c r="C85" s="7">
        <f>MIN($C$78:$M$78)</f>
        <v>0.15727648373983738</v>
      </c>
    </row>
    <row r="86" spans="1:3" x14ac:dyDescent="0.25">
      <c r="A86" t="s">
        <v>51</v>
      </c>
      <c r="B86" s="7">
        <f>MAX($B$78:$M$78)</f>
        <v>50.044057572751328</v>
      </c>
      <c r="C86" s="7">
        <f>MAX($C$78:$M$78)</f>
        <v>50.044057572751328</v>
      </c>
    </row>
    <row r="88" spans="1:3" x14ac:dyDescent="0.25">
      <c r="A88" t="s">
        <v>27</v>
      </c>
    </row>
    <row r="89" spans="1:3" x14ac:dyDescent="0.25">
      <c r="A89" t="s">
        <v>50</v>
      </c>
    </row>
    <row r="90" spans="1:3" x14ac:dyDescent="0.25">
      <c r="A90" t="s">
        <v>51</v>
      </c>
      <c r="B90" s="7">
        <f>B82*$D$18</f>
        <v>302.65213056481491</v>
      </c>
      <c r="C90" s="7">
        <f>C82*$D$18</f>
        <v>302.65213056481491</v>
      </c>
    </row>
    <row r="91" spans="1:3" x14ac:dyDescent="0.25">
      <c r="B91" s="7"/>
    </row>
    <row r="92" spans="1:3" x14ac:dyDescent="0.25">
      <c r="A92" t="s">
        <v>62</v>
      </c>
      <c r="B92" s="7"/>
    </row>
    <row r="93" spans="1:3" x14ac:dyDescent="0.25">
      <c r="A93" t="s">
        <v>50</v>
      </c>
      <c r="B93" s="7"/>
    </row>
    <row r="94" spans="1:3" x14ac:dyDescent="0.25">
      <c r="A94" t="s">
        <v>51</v>
      </c>
      <c r="B94" s="7">
        <f>B82*$D$19</f>
        <v>54.045023315145514</v>
      </c>
      <c r="C94" s="7">
        <f>C82*$D$19</f>
        <v>54.045023315145514</v>
      </c>
    </row>
  </sheetData>
  <hyperlinks>
    <hyperlink ref="D17" r:id="rId1" xr:uid="{CCD1262A-73D8-4143-AD3C-DA9ECBAC672F}"/>
    <hyperlink ref="B17" r:id="rId2" xr:uid="{79828282-79E0-4A3E-B0F8-1BB54584034F}"/>
    <hyperlink ref="B1" r:id="rId3" xr:uid="{4959A16F-14EE-4A64-91C9-067F08371E3F}"/>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FCFD1-544F-4ED5-ABA2-D39E00D12326}">
  <sheetPr codeName="Sheet13"/>
  <dimension ref="A1:P94"/>
  <sheetViews>
    <sheetView topLeftCell="D1" workbookViewId="0">
      <selection activeCell="O4" sqref="O4"/>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2.140625" bestFit="1" customWidth="1"/>
  </cols>
  <sheetData>
    <row r="1" spans="1:16" x14ac:dyDescent="0.25">
      <c r="A1" s="26">
        <v>43911</v>
      </c>
      <c r="B1" s="11" t="s">
        <v>89</v>
      </c>
    </row>
    <row r="2" spans="1:16" x14ac:dyDescent="0.25">
      <c r="B2" t="s">
        <v>56</v>
      </c>
      <c r="C2" t="s">
        <v>43</v>
      </c>
      <c r="D2" t="s">
        <v>28</v>
      </c>
      <c r="E2" t="s">
        <v>44</v>
      </c>
      <c r="F2" t="s">
        <v>29</v>
      </c>
      <c r="G2" t="s">
        <v>39</v>
      </c>
      <c r="H2" t="s">
        <v>30</v>
      </c>
      <c r="I2" t="s">
        <v>40</v>
      </c>
      <c r="J2" t="s">
        <v>79</v>
      </c>
      <c r="K2" t="s">
        <v>109</v>
      </c>
      <c r="L2" t="s">
        <v>45</v>
      </c>
      <c r="M2" t="s">
        <v>17</v>
      </c>
      <c r="N2" t="s">
        <v>95</v>
      </c>
      <c r="O2" t="s">
        <v>16</v>
      </c>
    </row>
    <row r="3" spans="1:16" x14ac:dyDescent="0.25">
      <c r="A3" t="s">
        <v>71</v>
      </c>
      <c r="B3" s="26">
        <v>43786</v>
      </c>
      <c r="C3" s="26">
        <v>43481</v>
      </c>
      <c r="D3" s="26">
        <v>43496</v>
      </c>
      <c r="E3" s="26">
        <v>43496</v>
      </c>
      <c r="F3" s="26">
        <v>43486</v>
      </c>
      <c r="G3" s="26">
        <v>43485</v>
      </c>
      <c r="H3" s="26">
        <v>43496</v>
      </c>
      <c r="I3" s="26">
        <v>43490</v>
      </c>
      <c r="J3" s="26">
        <v>43515</v>
      </c>
      <c r="K3" s="26">
        <v>43489</v>
      </c>
      <c r="L3" s="26">
        <v>43490</v>
      </c>
      <c r="M3" s="26">
        <v>43490</v>
      </c>
      <c r="N3" s="26">
        <v>43490</v>
      </c>
      <c r="O3" s="26">
        <v>43529</v>
      </c>
    </row>
    <row r="4" spans="1:16" x14ac:dyDescent="0.25">
      <c r="A4" t="s">
        <v>70</v>
      </c>
      <c r="B4">
        <v>127</v>
      </c>
      <c r="C4">
        <v>67</v>
      </c>
      <c r="D4">
        <v>52</v>
      </c>
      <c r="E4">
        <v>52</v>
      </c>
      <c r="F4">
        <v>62</v>
      </c>
      <c r="G4">
        <v>62</v>
      </c>
      <c r="H4">
        <v>52</v>
      </c>
      <c r="I4">
        <v>58</v>
      </c>
      <c r="J4">
        <v>33</v>
      </c>
      <c r="K4">
        <v>33</v>
      </c>
      <c r="L4">
        <v>58</v>
      </c>
      <c r="M4">
        <v>58</v>
      </c>
      <c r="N4">
        <v>58</v>
      </c>
      <c r="O4">
        <v>18</v>
      </c>
    </row>
    <row r="5" spans="1:16" x14ac:dyDescent="0.25">
      <c r="A5" t="s">
        <v>33</v>
      </c>
    </row>
    <row r="6" spans="1:16" x14ac:dyDescent="0.25">
      <c r="A6" t="s">
        <v>32</v>
      </c>
      <c r="B6" s="7">
        <v>142823000</v>
      </c>
      <c r="C6" s="7">
        <v>126800000</v>
      </c>
      <c r="D6" s="7">
        <v>60480000</v>
      </c>
      <c r="E6" s="7">
        <v>46660000</v>
      </c>
      <c r="F6" s="7">
        <v>327200000</v>
      </c>
      <c r="G6" s="7">
        <v>51470000</v>
      </c>
      <c r="H6" s="7">
        <v>66440000</v>
      </c>
      <c r="I6" s="7">
        <v>24600000</v>
      </c>
      <c r="J6" s="7">
        <v>81160000</v>
      </c>
      <c r="K6" s="7">
        <v>66990000</v>
      </c>
      <c r="L6" s="7">
        <v>37590000</v>
      </c>
      <c r="M6" s="7">
        <v>14659616</v>
      </c>
      <c r="N6" s="7">
        <v>2930000</v>
      </c>
      <c r="O6" s="7">
        <v>552714.5</v>
      </c>
    </row>
    <row r="7" spans="1:16" x14ac:dyDescent="0.25">
      <c r="A7" t="s">
        <v>55</v>
      </c>
      <c r="B7" s="4">
        <v>0.11</v>
      </c>
      <c r="C7" s="4">
        <v>0.28000000000000003</v>
      </c>
      <c r="D7" s="4">
        <v>0.23</v>
      </c>
      <c r="E7" s="4">
        <v>0.19</v>
      </c>
      <c r="F7" s="4">
        <v>0.16</v>
      </c>
      <c r="G7" s="4">
        <v>0.14000000000000001</v>
      </c>
      <c r="H7" s="4">
        <v>0.18</v>
      </c>
      <c r="I7" s="4">
        <v>0.16</v>
      </c>
      <c r="J7" s="4">
        <v>6.2E-2</v>
      </c>
      <c r="K7" s="4">
        <v>0.2</v>
      </c>
      <c r="L7" s="4">
        <v>0.17</v>
      </c>
      <c r="M7" s="4">
        <v>0.17</v>
      </c>
      <c r="N7" s="4">
        <v>0.14000000000000001</v>
      </c>
      <c r="O7" s="4">
        <v>0.14000000000000001</v>
      </c>
    </row>
    <row r="9" spans="1:16" x14ac:dyDescent="0.25">
      <c r="A9" t="s">
        <v>31</v>
      </c>
      <c r="B9" s="30">
        <v>81498</v>
      </c>
      <c r="C9" s="30">
        <v>1046</v>
      </c>
      <c r="D9" s="30">
        <v>53578</v>
      </c>
      <c r="E9" s="30">
        <v>24926</v>
      </c>
      <c r="F9" s="30">
        <v>15219</v>
      </c>
      <c r="G9" s="30">
        <v>8897</v>
      </c>
      <c r="H9" s="30">
        <v>5018</v>
      </c>
      <c r="I9" s="30">
        <v>1081</v>
      </c>
      <c r="J9" s="30">
        <v>20610</v>
      </c>
      <c r="K9" s="30">
        <v>14296</v>
      </c>
      <c r="L9" s="30">
        <v>1430</v>
      </c>
      <c r="M9" s="30">
        <v>425</v>
      </c>
      <c r="N9" s="30">
        <v>220</v>
      </c>
      <c r="O9" s="30">
        <v>15</v>
      </c>
      <c r="P9" s="1"/>
    </row>
    <row r="10" spans="1:16" x14ac:dyDescent="0.25">
      <c r="A10" t="s">
        <v>34</v>
      </c>
      <c r="B10" s="30"/>
      <c r="C10" s="30"/>
      <c r="D10" s="30"/>
      <c r="E10" s="30"/>
      <c r="F10" s="30"/>
      <c r="G10" s="30"/>
      <c r="H10" s="30"/>
      <c r="I10" s="30"/>
      <c r="J10" s="30"/>
      <c r="K10" s="30"/>
      <c r="L10" s="30"/>
      <c r="M10" s="30"/>
      <c r="N10" s="30"/>
      <c r="O10" s="30"/>
    </row>
    <row r="11" spans="1:16" x14ac:dyDescent="0.25">
      <c r="A11" t="s">
        <v>35</v>
      </c>
      <c r="B11" s="30">
        <v>3267</v>
      </c>
      <c r="C11" s="30">
        <v>36</v>
      </c>
      <c r="D11" s="30">
        <v>4827</v>
      </c>
      <c r="E11" s="30">
        <v>1326</v>
      </c>
      <c r="F11" s="30">
        <v>201</v>
      </c>
      <c r="G11" s="30">
        <v>104</v>
      </c>
      <c r="H11" s="30">
        <v>233</v>
      </c>
      <c r="I11" s="30">
        <v>7</v>
      </c>
      <c r="J11" s="30">
        <v>1556</v>
      </c>
      <c r="K11" s="30">
        <v>562</v>
      </c>
      <c r="L11" s="30">
        <v>20</v>
      </c>
      <c r="M11" s="30">
        <v>5</v>
      </c>
      <c r="N11" s="30">
        <v>1</v>
      </c>
      <c r="O11" s="30">
        <v>0</v>
      </c>
    </row>
    <row r="13" spans="1:16" x14ac:dyDescent="0.25">
      <c r="A13" t="s">
        <v>36</v>
      </c>
    </row>
    <row r="14" spans="1:16" x14ac:dyDescent="0.25">
      <c r="A14" t="s">
        <v>34</v>
      </c>
    </row>
    <row r="15" spans="1:16" x14ac:dyDescent="0.25">
      <c r="A15" t="s">
        <v>35</v>
      </c>
      <c r="B15" s="1">
        <f>B11/B9</f>
        <v>4.0086873297504232E-2</v>
      </c>
      <c r="C15" s="1">
        <f t="shared" ref="C15:O15" si="0">C11/C9</f>
        <v>3.4416826003824091E-2</v>
      </c>
      <c r="D15" s="1">
        <f t="shared" si="0"/>
        <v>9.0092948598305272E-2</v>
      </c>
      <c r="E15" s="1">
        <f t="shared" si="0"/>
        <v>5.3197464494904916E-2</v>
      </c>
      <c r="F15" s="1">
        <f t="shared" si="0"/>
        <v>1.3207175241474472E-2</v>
      </c>
      <c r="G15" s="1">
        <f t="shared" si="0"/>
        <v>1.1689333483196583E-2</v>
      </c>
      <c r="H15" s="1">
        <f t="shared" si="0"/>
        <v>4.6432841769629335E-2</v>
      </c>
      <c r="I15" s="1">
        <f t="shared" si="0"/>
        <v>6.4754856614246065E-3</v>
      </c>
      <c r="J15" s="1">
        <f t="shared" si="0"/>
        <v>7.54973313925279E-2</v>
      </c>
      <c r="K15" s="1">
        <f t="shared" si="0"/>
        <v>3.9311695579182987E-2</v>
      </c>
      <c r="L15" s="1">
        <f t="shared" si="0"/>
        <v>1.3986013986013986E-2</v>
      </c>
      <c r="M15" s="1">
        <f t="shared" si="0"/>
        <v>1.1764705882352941E-2</v>
      </c>
      <c r="N15" s="1">
        <f t="shared" si="0"/>
        <v>4.5454545454545452E-3</v>
      </c>
      <c r="O15" s="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t="s">
        <v>58</v>
      </c>
      <c r="B18" s="1">
        <v>0.15</v>
      </c>
      <c r="C18" s="1"/>
      <c r="D18" s="1">
        <v>0.56000000000000005</v>
      </c>
      <c r="E18" s="1"/>
      <c r="F18" s="1"/>
      <c r="G18" s="1"/>
      <c r="H18" s="1"/>
      <c r="I18" s="1"/>
      <c r="J18" s="1"/>
      <c r="K18" s="1"/>
      <c r="L18" s="1">
        <v>0.13</v>
      </c>
      <c r="M18" s="1"/>
      <c r="N18" s="1">
        <v>0.06</v>
      </c>
    </row>
    <row r="19" spans="1:15" x14ac:dyDescent="0.25">
      <c r="A19" t="s">
        <v>59</v>
      </c>
      <c r="B19" s="1">
        <v>0.05</v>
      </c>
      <c r="C19" s="1"/>
      <c r="D19" s="1">
        <v>0.1</v>
      </c>
      <c r="E19" s="1"/>
      <c r="F19" s="1"/>
      <c r="G19" s="1"/>
      <c r="H19" s="1"/>
      <c r="I19" s="1"/>
      <c r="J19" s="1"/>
      <c r="K19" s="1"/>
      <c r="L19" s="1"/>
      <c r="M19" s="1"/>
      <c r="N19" s="1">
        <v>0.04</v>
      </c>
    </row>
    <row r="20" spans="1:15" x14ac:dyDescent="0.25">
      <c r="B20" s="1"/>
      <c r="C20" s="1"/>
      <c r="D20" s="1"/>
      <c r="E20" s="1"/>
      <c r="F20" s="1"/>
      <c r="G20" s="1"/>
      <c r="H20" s="1"/>
      <c r="I20" s="1"/>
      <c r="J20" s="1"/>
      <c r="K20" s="1"/>
      <c r="L20" s="1"/>
      <c r="M20" s="1"/>
      <c r="N20" s="1"/>
    </row>
    <row r="22" spans="1:15" x14ac:dyDescent="0.25">
      <c r="A22" t="s">
        <v>42</v>
      </c>
    </row>
    <row r="23" spans="1:15" x14ac:dyDescent="0.25">
      <c r="A23" t="s">
        <v>41</v>
      </c>
      <c r="B23" s="7">
        <f t="shared" ref="B23:N23" si="1">B9/B6*100000</f>
        <v>57.062237874852094</v>
      </c>
      <c r="C23" s="7">
        <f t="shared" si="1"/>
        <v>0.82492113564668779</v>
      </c>
      <c r="D23" s="7">
        <f t="shared" si="1"/>
        <v>88.587962962962962</v>
      </c>
      <c r="E23" s="7">
        <f t="shared" si="1"/>
        <v>53.420488641234464</v>
      </c>
      <c r="F23" s="7">
        <f t="shared" si="1"/>
        <v>4.6512836185819069</v>
      </c>
      <c r="G23" s="7">
        <f t="shared" si="1"/>
        <v>17.285797551972024</v>
      </c>
      <c r="H23" s="7">
        <f t="shared" si="1"/>
        <v>7.5526791089704997</v>
      </c>
      <c r="I23" s="7">
        <f t="shared" si="1"/>
        <v>4.3943089430894302</v>
      </c>
      <c r="J23" s="7">
        <f t="shared" si="1"/>
        <v>25.394282897979302</v>
      </c>
      <c r="K23" s="7">
        <f t="shared" si="1"/>
        <v>21.340498581877892</v>
      </c>
      <c r="L23" s="7">
        <f t="shared" si="1"/>
        <v>3.804203245544028</v>
      </c>
      <c r="M23" s="7">
        <f t="shared" si="1"/>
        <v>2.8991209592393146</v>
      </c>
      <c r="N23" s="7">
        <f t="shared" si="1"/>
        <v>7.5085324232081918</v>
      </c>
      <c r="O23" s="8">
        <f>D23*$O$6/100000</f>
        <v>489.63851655092589</v>
      </c>
    </row>
    <row r="24" spans="1:15" x14ac:dyDescent="0.25">
      <c r="A24" t="s">
        <v>34</v>
      </c>
      <c r="O24" s="27">
        <f>O23*D18</f>
        <v>274.19756926851852</v>
      </c>
    </row>
    <row r="25" spans="1:15" x14ac:dyDescent="0.25">
      <c r="A25" t="s">
        <v>35</v>
      </c>
      <c r="B25" s="7">
        <f>B11/B6*100000</f>
        <v>2.2874466997612428</v>
      </c>
      <c r="C25" s="7">
        <f t="shared" ref="C25:N25" si="2">C11/C6*100000</f>
        <v>2.8391167192429023E-2</v>
      </c>
      <c r="D25" s="7">
        <f t="shared" si="2"/>
        <v>7.9811507936507926</v>
      </c>
      <c r="E25" s="7">
        <f t="shared" si="2"/>
        <v>2.8418345477925415</v>
      </c>
      <c r="F25" s="7">
        <f t="shared" si="2"/>
        <v>6.1430317848410756E-2</v>
      </c>
      <c r="G25" s="7">
        <f t="shared" si="2"/>
        <v>0.20205945210802409</v>
      </c>
      <c r="H25" s="7">
        <f t="shared" si="2"/>
        <v>0.35069235400361226</v>
      </c>
      <c r="I25" s="7">
        <f t="shared" si="2"/>
        <v>2.8455284552845527E-2</v>
      </c>
      <c r="J25" s="7">
        <f t="shared" si="2"/>
        <v>1.9172005914243468</v>
      </c>
      <c r="K25" s="7">
        <f t="shared" si="2"/>
        <v>0.83893118375876996</v>
      </c>
      <c r="L25" s="7">
        <f t="shared" si="2"/>
        <v>5.3205639797818567E-2</v>
      </c>
      <c r="M25" s="7">
        <f t="shared" si="2"/>
        <v>3.4107305402815459E-2</v>
      </c>
      <c r="N25" s="7">
        <f t="shared" si="2"/>
        <v>3.4129692832764506E-2</v>
      </c>
      <c r="O25" s="8">
        <f>D25*$O$6/100000</f>
        <v>44.112977703373012</v>
      </c>
    </row>
    <row r="26" spans="1:15" x14ac:dyDescent="0.25">
      <c r="N26" s="1"/>
      <c r="O26" s="27">
        <f>O23*D19</f>
        <v>48.96385165509259</v>
      </c>
    </row>
    <row r="28" spans="1:15" x14ac:dyDescent="0.25">
      <c r="A28" s="10" t="s">
        <v>74</v>
      </c>
    </row>
    <row r="31" spans="1:15" x14ac:dyDescent="0.25">
      <c r="A31" t="s">
        <v>48</v>
      </c>
      <c r="B31" s="7">
        <f>B23*$L$6/100000</f>
        <v>21449.695217156903</v>
      </c>
      <c r="C31" s="7">
        <f t="shared" ref="C31:N31" si="3">C23*$L$6/100000</f>
        <v>310.08785488958995</v>
      </c>
      <c r="D31" s="7">
        <f t="shared" si="3"/>
        <v>33300.215277777774</v>
      </c>
      <c r="E31" s="7">
        <f t="shared" si="3"/>
        <v>20080.761680240033</v>
      </c>
      <c r="F31" s="7">
        <f t="shared" si="3"/>
        <v>1748.4175122249389</v>
      </c>
      <c r="G31" s="7">
        <f t="shared" si="3"/>
        <v>6497.7312997862837</v>
      </c>
      <c r="H31" s="7">
        <f t="shared" si="3"/>
        <v>2839.0520770620105</v>
      </c>
      <c r="I31" s="7">
        <f t="shared" si="3"/>
        <v>1651.820731707317</v>
      </c>
      <c r="J31" s="7">
        <f t="shared" si="3"/>
        <v>9545.7109413504204</v>
      </c>
      <c r="K31" s="7"/>
      <c r="L31" s="7">
        <f t="shared" si="3"/>
        <v>1430</v>
      </c>
      <c r="M31" s="7">
        <f t="shared" si="3"/>
        <v>1089.7795685780584</v>
      </c>
      <c r="N31" s="7">
        <f t="shared" si="3"/>
        <v>2822.4573378839596</v>
      </c>
    </row>
    <row r="32" spans="1:15" x14ac:dyDescent="0.25">
      <c r="B32" s="7"/>
      <c r="C32" s="7"/>
      <c r="D32" s="7"/>
      <c r="E32" s="7"/>
      <c r="F32" s="7"/>
      <c r="G32" s="7"/>
      <c r="H32" s="7"/>
      <c r="I32" s="7"/>
      <c r="J32" s="7"/>
      <c r="K32" s="7"/>
      <c r="L32" s="7"/>
      <c r="M32" s="7"/>
      <c r="N32" s="7"/>
    </row>
    <row r="33" spans="1:14" x14ac:dyDescent="0.25">
      <c r="A33" t="s">
        <v>49</v>
      </c>
      <c r="B33" s="7">
        <f>B25*$L$6/100000</f>
        <v>859.85121444025117</v>
      </c>
      <c r="C33" s="7">
        <f t="shared" ref="C33:N33" si="4">C25*$L$6/100000</f>
        <v>10.67223974763407</v>
      </c>
      <c r="D33" s="7">
        <f t="shared" si="4"/>
        <v>3000.114583333333</v>
      </c>
      <c r="E33" s="7">
        <f t="shared" si="4"/>
        <v>1068.2456065152164</v>
      </c>
      <c r="F33" s="7">
        <f t="shared" si="4"/>
        <v>23.091656479217605</v>
      </c>
      <c r="G33" s="7">
        <f t="shared" si="4"/>
        <v>75.95414804740625</v>
      </c>
      <c r="H33" s="7">
        <f t="shared" si="4"/>
        <v>131.82525586995783</v>
      </c>
      <c r="I33" s="7">
        <f t="shared" si="4"/>
        <v>10.696341463414633</v>
      </c>
      <c r="J33" s="7">
        <f t="shared" si="4"/>
        <v>720.67570231641207</v>
      </c>
      <c r="K33" s="7"/>
      <c r="L33" s="7">
        <f t="shared" si="4"/>
        <v>20</v>
      </c>
      <c r="M33" s="7">
        <f t="shared" si="4"/>
        <v>12.820936100918331</v>
      </c>
      <c r="N33" s="7">
        <f t="shared" si="4"/>
        <v>12.829351535836178</v>
      </c>
    </row>
    <row r="35" spans="1:14" x14ac:dyDescent="0.25">
      <c r="A35" t="s">
        <v>48</v>
      </c>
      <c r="B35" t="s">
        <v>75</v>
      </c>
    </row>
    <row r="36" spans="1:14" x14ac:dyDescent="0.25">
      <c r="A36" t="s">
        <v>50</v>
      </c>
      <c r="B36" s="7">
        <f>MIN($B$31:$M$31)</f>
        <v>310.08785488958995</v>
      </c>
      <c r="C36" s="7"/>
    </row>
    <row r="37" spans="1:14" x14ac:dyDescent="0.25">
      <c r="A37" t="s">
        <v>51</v>
      </c>
      <c r="B37" s="7">
        <f>MAX(B31:M31)</f>
        <v>33300.215277777774</v>
      </c>
      <c r="C37">
        <f>B37*1.6%</f>
        <v>532.80344444444438</v>
      </c>
      <c r="D37" t="s">
        <v>78</v>
      </c>
    </row>
    <row r="39" spans="1:14" x14ac:dyDescent="0.25">
      <c r="A39" t="s">
        <v>49</v>
      </c>
    </row>
    <row r="40" spans="1:14" x14ac:dyDescent="0.25">
      <c r="A40" t="s">
        <v>50</v>
      </c>
      <c r="B40" s="7">
        <f>MIN(B33:M33)</f>
        <v>10.67223974763407</v>
      </c>
    </row>
    <row r="41" spans="1:14" x14ac:dyDescent="0.25">
      <c r="A41" t="s">
        <v>51</v>
      </c>
      <c r="B41" s="7">
        <f>MAX($B$33:$M$33)</f>
        <v>3000.114583333333</v>
      </c>
      <c r="C41">
        <f>B41*1.6%</f>
        <v>48.00183333333333</v>
      </c>
      <c r="D41" t="s">
        <v>78</v>
      </c>
    </row>
    <row r="42" spans="1:14" x14ac:dyDescent="0.25">
      <c r="B42" s="7"/>
    </row>
    <row r="43" spans="1:14" x14ac:dyDescent="0.25">
      <c r="A43" t="s">
        <v>63</v>
      </c>
      <c r="B43" s="7" t="s">
        <v>65</v>
      </c>
      <c r="C43" t="s">
        <v>66</v>
      </c>
    </row>
    <row r="44" spans="1:14" x14ac:dyDescent="0.25">
      <c r="A44" t="s">
        <v>50</v>
      </c>
      <c r="B44" s="7">
        <f>B18*L9</f>
        <v>214.5</v>
      </c>
      <c r="C44" s="7">
        <f>B36*B18</f>
        <v>46.513178233438488</v>
      </c>
    </row>
    <row r="45" spans="1:14" x14ac:dyDescent="0.25">
      <c r="A45" t="s">
        <v>51</v>
      </c>
      <c r="B45" s="7">
        <f>L9*D18</f>
        <v>800.80000000000007</v>
      </c>
      <c r="C45" s="7">
        <f>B37*D18</f>
        <v>18648.120555555553</v>
      </c>
      <c r="D45">
        <f>C45*1.6%</f>
        <v>298.36992888888886</v>
      </c>
      <c r="E45" t="s">
        <v>78</v>
      </c>
    </row>
    <row r="46" spans="1:14" x14ac:dyDescent="0.25">
      <c r="B46" s="7"/>
    </row>
    <row r="47" spans="1:14" x14ac:dyDescent="0.25">
      <c r="A47" t="s">
        <v>64</v>
      </c>
      <c r="B47" s="7" t="s">
        <v>77</v>
      </c>
      <c r="C47" t="s">
        <v>76</v>
      </c>
    </row>
    <row r="48" spans="1:14" x14ac:dyDescent="0.25">
      <c r="A48" t="s">
        <v>50</v>
      </c>
      <c r="B48" s="7"/>
    </row>
    <row r="49" spans="1:14" x14ac:dyDescent="0.25">
      <c r="A49" t="s">
        <v>51</v>
      </c>
      <c r="B49" s="7">
        <f>L9*D19</f>
        <v>143</v>
      </c>
      <c r="C49" s="7">
        <f>B37*D19</f>
        <v>3330.0215277777775</v>
      </c>
      <c r="D49">
        <f>C49*1.6%</f>
        <v>53.280344444444438</v>
      </c>
      <c r="E49" t="s">
        <v>78</v>
      </c>
    </row>
    <row r="52" spans="1:14" x14ac:dyDescent="0.25">
      <c r="A52" s="10" t="s">
        <v>47</v>
      </c>
    </row>
    <row r="54" spans="1:14" x14ac:dyDescent="0.25">
      <c r="A54" t="s">
        <v>48</v>
      </c>
      <c r="B54" s="7">
        <f>B23*$M$6/100000</f>
        <v>8365.1049534598787</v>
      </c>
      <c r="C54" s="7">
        <f t="shared" ref="C54:M54" si="5">C23*$M$6/100000</f>
        <v>120.93027078864354</v>
      </c>
      <c r="D54" s="7">
        <f t="shared" si="5"/>
        <v>12986.655192592592</v>
      </c>
      <c r="E54" s="7">
        <f t="shared" si="5"/>
        <v>7831.2385001285902</v>
      </c>
      <c r="F54" s="7">
        <f t="shared" si="5"/>
        <v>681.86031755501222</v>
      </c>
      <c r="G54" s="7">
        <f t="shared" si="5"/>
        <v>2534.0315436564993</v>
      </c>
      <c r="H54" s="7">
        <f t="shared" si="5"/>
        <v>1107.1937550872967</v>
      </c>
      <c r="I54" s="7">
        <f t="shared" si="5"/>
        <v>644.18881691056902</v>
      </c>
      <c r="J54" s="7">
        <f t="shared" si="5"/>
        <v>3722.7043587974376</v>
      </c>
      <c r="K54" s="7">
        <f t="shared" si="5"/>
        <v>3128.4351445887446</v>
      </c>
      <c r="L54" s="7">
        <f t="shared" si="5"/>
        <v>557.68158765629164</v>
      </c>
      <c r="M54" s="7">
        <f t="shared" si="5"/>
        <v>425</v>
      </c>
      <c r="N54" s="7"/>
    </row>
    <row r="55" spans="1:14" x14ac:dyDescent="0.25">
      <c r="B55" s="7"/>
      <c r="C55" s="7"/>
      <c r="D55" s="7"/>
      <c r="E55" s="7"/>
      <c r="F55" s="7"/>
      <c r="G55" s="7"/>
      <c r="H55" s="7"/>
      <c r="I55" s="7"/>
      <c r="J55" s="7"/>
      <c r="K55" s="7"/>
      <c r="L55" s="7"/>
      <c r="M55" s="7"/>
      <c r="N55" s="7"/>
    </row>
    <row r="56" spans="1:14" x14ac:dyDescent="0.25">
      <c r="A56" t="s">
        <v>49</v>
      </c>
      <c r="B56" s="7">
        <f t="shared" ref="B56:M56" si="6">B25*$M$6/100000</f>
        <v>335.33090238967111</v>
      </c>
      <c r="C56" s="7">
        <f t="shared" si="6"/>
        <v>4.162036088328076</v>
      </c>
      <c r="D56" s="7">
        <f t="shared" si="6"/>
        <v>1170.0060587301584</v>
      </c>
      <c r="E56" s="7">
        <f t="shared" si="6"/>
        <v>416.60203206172309</v>
      </c>
      <c r="F56" s="7">
        <f t="shared" si="6"/>
        <v>9.0054487041564784</v>
      </c>
      <c r="G56" s="7">
        <f t="shared" si="6"/>
        <v>29.621139770740239</v>
      </c>
      <c r="H56" s="7">
        <f t="shared" si="6"/>
        <v>51.410152438290183</v>
      </c>
      <c r="I56" s="7">
        <f t="shared" si="6"/>
        <v>4.1714354471544715</v>
      </c>
      <c r="J56" s="7">
        <f t="shared" si="6"/>
        <v>281.05424465253822</v>
      </c>
      <c r="K56" s="7">
        <f t="shared" si="6"/>
        <v>122.98409004329004</v>
      </c>
      <c r="L56" s="7">
        <f t="shared" si="6"/>
        <v>7.7997424847033781</v>
      </c>
      <c r="M56" s="7">
        <f t="shared" si="6"/>
        <v>4.9999999999999991</v>
      </c>
      <c r="N56" s="7"/>
    </row>
    <row r="58" spans="1:14" x14ac:dyDescent="0.25">
      <c r="A58" t="s">
        <v>48</v>
      </c>
    </row>
    <row r="59" spans="1:14" x14ac:dyDescent="0.25">
      <c r="A59" t="s">
        <v>50</v>
      </c>
      <c r="B59" s="7">
        <f>MIN($B$54:$M$54)</f>
        <v>120.93027078864354</v>
      </c>
    </row>
    <row r="60" spans="1:14" x14ac:dyDescent="0.25">
      <c r="A60" t="s">
        <v>51</v>
      </c>
      <c r="B60" s="7">
        <f>MAX($B$54:$M$54)</f>
        <v>12986.655192592592</v>
      </c>
    </row>
    <row r="62" spans="1:14" x14ac:dyDescent="0.25">
      <c r="A62" t="s">
        <v>49</v>
      </c>
    </row>
    <row r="63" spans="1:14" x14ac:dyDescent="0.25">
      <c r="A63" t="s">
        <v>50</v>
      </c>
      <c r="B63" s="7">
        <f>MIN($B$56:$M$56)</f>
        <v>4.162036088328076</v>
      </c>
    </row>
    <row r="64" spans="1:14" x14ac:dyDescent="0.25">
      <c r="A64" t="s">
        <v>51</v>
      </c>
      <c r="B64" s="7">
        <f>MAX($B$56:$M$56)</f>
        <v>1170.0060587301584</v>
      </c>
    </row>
    <row r="65" spans="1:14" x14ac:dyDescent="0.25">
      <c r="B65" s="7"/>
    </row>
    <row r="66" spans="1:14" x14ac:dyDescent="0.25">
      <c r="A66" t="s">
        <v>63</v>
      </c>
      <c r="B66" s="7" t="s">
        <v>77</v>
      </c>
      <c r="C66" t="s">
        <v>76</v>
      </c>
    </row>
    <row r="67" spans="1:14" x14ac:dyDescent="0.25">
      <c r="A67" t="s">
        <v>50</v>
      </c>
      <c r="B67" s="7">
        <f>B18*M9</f>
        <v>63.75</v>
      </c>
    </row>
    <row r="68" spans="1:14" x14ac:dyDescent="0.25">
      <c r="A68" t="s">
        <v>51</v>
      </c>
      <c r="B68" s="7">
        <f>D18*M9</f>
        <v>238.00000000000003</v>
      </c>
      <c r="C68" s="7">
        <f>B60*D18</f>
        <v>7272.5269078518522</v>
      </c>
    </row>
    <row r="69" spans="1:14" x14ac:dyDescent="0.25">
      <c r="B69" s="7"/>
    </row>
    <row r="70" spans="1:14" x14ac:dyDescent="0.25">
      <c r="A70" t="s">
        <v>64</v>
      </c>
      <c r="B70" s="7" t="s">
        <v>77</v>
      </c>
      <c r="C70" t="s">
        <v>76</v>
      </c>
    </row>
    <row r="71" spans="1:14" x14ac:dyDescent="0.25">
      <c r="A71" t="s">
        <v>50</v>
      </c>
      <c r="B71" s="7">
        <f>B19*M9</f>
        <v>21.25</v>
      </c>
    </row>
    <row r="72" spans="1:14" x14ac:dyDescent="0.25">
      <c r="A72" t="s">
        <v>51</v>
      </c>
      <c r="B72">
        <f>D19*M9</f>
        <v>42.5</v>
      </c>
      <c r="C72" s="7">
        <f>B60*D19</f>
        <v>1298.6655192592593</v>
      </c>
    </row>
    <row r="74" spans="1:14" x14ac:dyDescent="0.25">
      <c r="A74" s="10" t="s">
        <v>52</v>
      </c>
    </row>
    <row r="76" spans="1:14" x14ac:dyDescent="0.25">
      <c r="A76" t="s">
        <v>48</v>
      </c>
      <c r="B76" s="7">
        <f>B23*$O$6/100000</f>
        <v>315.39126275879937</v>
      </c>
      <c r="C76" s="7">
        <f t="shared" ref="C76:M78" si="7">C23*$O$6/100000</f>
        <v>4.5594587302839118</v>
      </c>
      <c r="D76" s="7">
        <f t="shared" si="7"/>
        <v>489.63851655092589</v>
      </c>
      <c r="E76" s="7">
        <f t="shared" si="7"/>
        <v>295.26278669095586</v>
      </c>
      <c r="F76" s="7">
        <f t="shared" si="7"/>
        <v>25.708318996026893</v>
      </c>
      <c r="G76" s="7">
        <f t="shared" si="7"/>
        <v>95.541109510394406</v>
      </c>
      <c r="H76" s="7">
        <f t="shared" si="7"/>
        <v>41.744752573750752</v>
      </c>
      <c r="I76" s="7">
        <f t="shared" si="7"/>
        <v>24.28798270325203</v>
      </c>
      <c r="J76" s="7">
        <f t="shared" si="7"/>
        <v>140.35788374815181</v>
      </c>
      <c r="K76" s="7">
        <f t="shared" si="7"/>
        <v>117.95203003433349</v>
      </c>
      <c r="L76" s="7">
        <f t="shared" si="7"/>
        <v>21.026382947592445</v>
      </c>
      <c r="M76" s="7">
        <f t="shared" si="7"/>
        <v>16.02386191425478</v>
      </c>
      <c r="N76" s="7"/>
    </row>
    <row r="77" spans="1:14" x14ac:dyDescent="0.25">
      <c r="B77" s="7"/>
      <c r="C77" s="7"/>
      <c r="D77" s="7"/>
      <c r="E77" s="7"/>
      <c r="F77" s="7"/>
      <c r="G77" s="7"/>
      <c r="H77" s="7"/>
      <c r="I77" s="7"/>
      <c r="J77" s="7"/>
      <c r="K77" s="7"/>
      <c r="L77" s="7"/>
      <c r="M77" s="7"/>
      <c r="N77" s="7"/>
    </row>
    <row r="78" spans="1:14" x14ac:dyDescent="0.25">
      <c r="A78" t="s">
        <v>49</v>
      </c>
      <c r="B78" s="7">
        <f>B25*$O$6/100000</f>
        <v>12.643049589351854</v>
      </c>
      <c r="C78" s="7">
        <f t="shared" si="7"/>
        <v>0.15692209779179811</v>
      </c>
      <c r="D78" s="7">
        <f t="shared" si="7"/>
        <v>44.112977703373012</v>
      </c>
      <c r="E78" s="7">
        <f t="shared" si="7"/>
        <v>15.707231611658807</v>
      </c>
      <c r="F78" s="7">
        <f t="shared" si="7"/>
        <v>0.3395342741442543</v>
      </c>
      <c r="G78" s="7">
        <f t="shared" si="7"/>
        <v>1.1168118904216047</v>
      </c>
      <c r="H78" s="7">
        <f t="shared" si="7"/>
        <v>1.9383274909692956</v>
      </c>
      <c r="I78" s="7">
        <f t="shared" si="7"/>
        <v>0.15727648373983738</v>
      </c>
      <c r="J78" s="7">
        <f t="shared" si="7"/>
        <v>10.59664566288812</v>
      </c>
      <c r="K78" s="7">
        <f t="shared" si="7"/>
        <v>4.636894297656367</v>
      </c>
      <c r="L78" s="7">
        <f t="shared" si="7"/>
        <v>0.29407528598031391</v>
      </c>
      <c r="M78" s="7">
        <f t="shared" si="7"/>
        <v>0.18851602252064445</v>
      </c>
      <c r="N78" s="7"/>
    </row>
    <row r="80" spans="1:14" x14ac:dyDescent="0.25">
      <c r="A80" t="s">
        <v>48</v>
      </c>
      <c r="B80" t="s">
        <v>72</v>
      </c>
      <c r="C80" t="s">
        <v>73</v>
      </c>
    </row>
    <row r="81" spans="1:3" x14ac:dyDescent="0.25">
      <c r="A81" t="s">
        <v>50</v>
      </c>
      <c r="B81" s="7">
        <f>MIN($B$76:$M$76)</f>
        <v>4.5594587302839118</v>
      </c>
      <c r="C81" s="7">
        <f>MIN($C$76:$M$76)</f>
        <v>4.5594587302839118</v>
      </c>
    </row>
    <row r="82" spans="1:3" x14ac:dyDescent="0.25">
      <c r="A82" t="s">
        <v>51</v>
      </c>
      <c r="B82" s="7">
        <f>MAX($B$76:$M$76)</f>
        <v>489.63851655092589</v>
      </c>
      <c r="C82" s="7">
        <f>MAX($C$76:$M$76)</f>
        <v>489.63851655092589</v>
      </c>
    </row>
    <row r="84" spans="1:3" x14ac:dyDescent="0.25">
      <c r="A84" t="s">
        <v>49</v>
      </c>
    </row>
    <row r="85" spans="1:3" x14ac:dyDescent="0.25">
      <c r="A85" t="s">
        <v>50</v>
      </c>
      <c r="B85" s="7">
        <f>MIN($B$78:$M$78)</f>
        <v>0.15692209779179811</v>
      </c>
      <c r="C85" s="7">
        <f>MIN($C$78:$M$78)</f>
        <v>0.15692209779179811</v>
      </c>
    </row>
    <row r="86" spans="1:3" x14ac:dyDescent="0.25">
      <c r="A86" t="s">
        <v>51</v>
      </c>
      <c r="B86" s="7">
        <f>MAX($B$78:$M$78)</f>
        <v>44.112977703373012</v>
      </c>
      <c r="C86" s="7">
        <f>MAX($C$78:$M$78)</f>
        <v>44.112977703373012</v>
      </c>
    </row>
    <row r="88" spans="1:3" x14ac:dyDescent="0.25">
      <c r="A88" t="s">
        <v>27</v>
      </c>
    </row>
    <row r="89" spans="1:3" x14ac:dyDescent="0.25">
      <c r="A89" t="s">
        <v>50</v>
      </c>
    </row>
    <row r="90" spans="1:3" x14ac:dyDescent="0.25">
      <c r="A90" t="s">
        <v>51</v>
      </c>
      <c r="B90" s="7">
        <f>B82*$D$18</f>
        <v>274.19756926851852</v>
      </c>
      <c r="C90" s="7">
        <f>C82*$D$18</f>
        <v>274.19756926851852</v>
      </c>
    </row>
    <row r="91" spans="1:3" x14ac:dyDescent="0.25">
      <c r="B91" s="7"/>
    </row>
    <row r="92" spans="1:3" x14ac:dyDescent="0.25">
      <c r="A92" t="s">
        <v>62</v>
      </c>
      <c r="B92" s="7"/>
    </row>
    <row r="93" spans="1:3" x14ac:dyDescent="0.25">
      <c r="A93" t="s">
        <v>50</v>
      </c>
      <c r="B93" s="7"/>
    </row>
    <row r="94" spans="1:3" x14ac:dyDescent="0.25">
      <c r="A94" t="s">
        <v>51</v>
      </c>
      <c r="B94" s="7">
        <f>B82*$D$19</f>
        <v>48.96385165509259</v>
      </c>
      <c r="C94" s="7">
        <f>C82*$D$19</f>
        <v>48.96385165509259</v>
      </c>
    </row>
  </sheetData>
  <hyperlinks>
    <hyperlink ref="D17" r:id="rId1" xr:uid="{7A79B291-C0BB-4FC2-808B-502500C76CE1}"/>
    <hyperlink ref="B17" r:id="rId2" xr:uid="{A72C41FC-3DAB-4C7E-80AD-1B616825E577}"/>
    <hyperlink ref="B1" r:id="rId3" xr:uid="{256F076D-FAD8-481B-9938-290C44CAF868}"/>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793DA-B4CB-4042-8697-22C192328A42}">
  <sheetPr codeName="Sheet14"/>
  <dimension ref="A1:P94"/>
  <sheetViews>
    <sheetView topLeftCell="E1" workbookViewId="0">
      <selection activeCell="N2" sqref="N2:N4"/>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2.140625" bestFit="1" customWidth="1"/>
  </cols>
  <sheetData>
    <row r="1" spans="1:16" x14ac:dyDescent="0.25">
      <c r="A1" s="26">
        <v>43911</v>
      </c>
      <c r="B1" s="11" t="s">
        <v>89</v>
      </c>
    </row>
    <row r="2" spans="1:16" x14ac:dyDescent="0.25">
      <c r="B2" t="s">
        <v>56</v>
      </c>
      <c r="C2" t="s">
        <v>43</v>
      </c>
      <c r="D2" t="s">
        <v>28</v>
      </c>
      <c r="E2" t="s">
        <v>44</v>
      </c>
      <c r="F2" t="s">
        <v>29</v>
      </c>
      <c r="G2" t="s">
        <v>39</v>
      </c>
      <c r="H2" t="s">
        <v>30</v>
      </c>
      <c r="I2" t="s">
        <v>40</v>
      </c>
      <c r="J2" t="s">
        <v>79</v>
      </c>
      <c r="K2" t="s">
        <v>109</v>
      </c>
      <c r="L2" t="s">
        <v>45</v>
      </c>
      <c r="M2" t="s">
        <v>17</v>
      </c>
      <c r="N2" t="s">
        <v>95</v>
      </c>
      <c r="O2" t="s">
        <v>16</v>
      </c>
    </row>
    <row r="3" spans="1:16" x14ac:dyDescent="0.25">
      <c r="A3" t="s">
        <v>71</v>
      </c>
      <c r="B3" s="26">
        <v>43786</v>
      </c>
      <c r="C3" s="26">
        <v>43481</v>
      </c>
      <c r="D3" s="26">
        <v>43496</v>
      </c>
      <c r="E3" s="26">
        <v>43496</v>
      </c>
      <c r="F3" s="26">
        <v>43486</v>
      </c>
      <c r="G3" s="26">
        <v>43485</v>
      </c>
      <c r="H3" s="26">
        <v>43496</v>
      </c>
      <c r="I3" s="26">
        <v>43490</v>
      </c>
      <c r="J3" s="26">
        <v>43515</v>
      </c>
      <c r="K3" s="26">
        <v>43489</v>
      </c>
      <c r="L3" s="26">
        <v>43490</v>
      </c>
      <c r="M3" s="26">
        <v>43490</v>
      </c>
      <c r="N3" s="26">
        <v>43490</v>
      </c>
      <c r="O3" s="26">
        <v>43529</v>
      </c>
    </row>
    <row r="4" spans="1:16" x14ac:dyDescent="0.25">
      <c r="A4" t="s">
        <v>70</v>
      </c>
      <c r="B4">
        <v>126</v>
      </c>
      <c r="C4">
        <v>66</v>
      </c>
      <c r="D4">
        <v>51</v>
      </c>
      <c r="E4">
        <v>51</v>
      </c>
      <c r="F4">
        <v>61</v>
      </c>
      <c r="G4">
        <v>61</v>
      </c>
      <c r="H4">
        <v>51</v>
      </c>
      <c r="I4">
        <v>57</v>
      </c>
      <c r="J4">
        <v>32</v>
      </c>
      <c r="K4">
        <v>32</v>
      </c>
      <c r="L4">
        <v>57</v>
      </c>
      <c r="M4">
        <v>57</v>
      </c>
      <c r="N4">
        <v>17</v>
      </c>
      <c r="O4">
        <v>14</v>
      </c>
    </row>
    <row r="5" spans="1:16" x14ac:dyDescent="0.25">
      <c r="A5" t="s">
        <v>33</v>
      </c>
    </row>
    <row r="6" spans="1:16" x14ac:dyDescent="0.25">
      <c r="A6" t="s">
        <v>32</v>
      </c>
      <c r="B6" s="7">
        <v>142823000</v>
      </c>
      <c r="C6" s="7">
        <v>126800000</v>
      </c>
      <c r="D6" s="7">
        <v>60480000</v>
      </c>
      <c r="E6" s="7">
        <v>46660000</v>
      </c>
      <c r="F6" s="7">
        <v>327200000</v>
      </c>
      <c r="G6" s="7">
        <v>51470000</v>
      </c>
      <c r="H6" s="7">
        <v>66440000</v>
      </c>
      <c r="I6" s="7">
        <v>24600000</v>
      </c>
      <c r="J6" s="7">
        <v>81160000</v>
      </c>
      <c r="K6" s="7">
        <v>66990000</v>
      </c>
      <c r="L6" s="7">
        <v>37590000</v>
      </c>
      <c r="M6" s="7">
        <v>14659616</v>
      </c>
      <c r="N6" s="7">
        <v>2930000</v>
      </c>
      <c r="O6" s="7">
        <v>552714.5</v>
      </c>
    </row>
    <row r="7" spans="1:16" x14ac:dyDescent="0.25">
      <c r="A7" t="s">
        <v>55</v>
      </c>
      <c r="B7" s="4">
        <v>0.11</v>
      </c>
      <c r="C7" s="4">
        <v>0.28000000000000003</v>
      </c>
      <c r="D7" s="4">
        <v>0.23</v>
      </c>
      <c r="E7" s="4">
        <v>0.19</v>
      </c>
      <c r="F7" s="4">
        <v>0.16</v>
      </c>
      <c r="G7" s="4">
        <v>0.14000000000000001</v>
      </c>
      <c r="H7" s="4">
        <v>0.18</v>
      </c>
      <c r="I7" s="4">
        <v>0.16</v>
      </c>
      <c r="J7" s="4">
        <v>6.2E-2</v>
      </c>
      <c r="K7" s="4">
        <v>0.2</v>
      </c>
      <c r="L7" s="4">
        <v>0.17</v>
      </c>
      <c r="M7" s="4">
        <v>0.17</v>
      </c>
      <c r="N7" s="4">
        <v>0.14000000000000001</v>
      </c>
      <c r="O7" s="4">
        <v>0.14000000000000001</v>
      </c>
    </row>
    <row r="9" spans="1:16" x14ac:dyDescent="0.25">
      <c r="A9" t="s">
        <v>31</v>
      </c>
      <c r="B9" s="30">
        <v>81416</v>
      </c>
      <c r="C9" s="30">
        <v>996</v>
      </c>
      <c r="D9" s="30">
        <v>47021</v>
      </c>
      <c r="E9" s="30">
        <v>19980</v>
      </c>
      <c r="F9" s="30">
        <v>15219</v>
      </c>
      <c r="G9" s="30">
        <v>8799</v>
      </c>
      <c r="H9" s="30">
        <v>3983</v>
      </c>
      <c r="I9" s="30">
        <v>873</v>
      </c>
      <c r="J9" s="30">
        <v>19644</v>
      </c>
      <c r="K9" s="30">
        <v>12475</v>
      </c>
      <c r="L9" s="30">
        <v>1302</v>
      </c>
      <c r="M9" s="30">
        <v>377</v>
      </c>
      <c r="N9" s="30">
        <v>220</v>
      </c>
      <c r="O9" s="30">
        <v>15</v>
      </c>
      <c r="P9" s="1"/>
    </row>
    <row r="10" spans="1:16" x14ac:dyDescent="0.25">
      <c r="A10" t="s">
        <v>34</v>
      </c>
      <c r="B10" s="30"/>
      <c r="C10" s="30"/>
      <c r="D10" s="30"/>
      <c r="E10" s="30"/>
      <c r="F10" s="30"/>
      <c r="G10" s="30"/>
      <c r="H10" s="30"/>
      <c r="I10" s="30"/>
      <c r="J10" s="30"/>
      <c r="K10" s="30"/>
      <c r="L10" s="30"/>
      <c r="M10" s="30"/>
      <c r="N10" s="30"/>
      <c r="O10" s="30"/>
    </row>
    <row r="11" spans="1:16" x14ac:dyDescent="0.25">
      <c r="A11" t="s">
        <v>35</v>
      </c>
      <c r="B11" s="30">
        <v>3261</v>
      </c>
      <c r="C11" s="30">
        <v>35</v>
      </c>
      <c r="D11" s="30">
        <v>4032</v>
      </c>
      <c r="E11" s="30">
        <v>1002</v>
      </c>
      <c r="F11" s="30">
        <v>201</v>
      </c>
      <c r="G11" s="30">
        <v>102</v>
      </c>
      <c r="H11" s="30">
        <v>177</v>
      </c>
      <c r="I11" s="30">
        <v>7</v>
      </c>
      <c r="J11" s="30">
        <v>1433</v>
      </c>
      <c r="K11" s="30">
        <v>450</v>
      </c>
      <c r="L11" s="30">
        <v>19</v>
      </c>
      <c r="M11" s="30">
        <v>3</v>
      </c>
      <c r="N11" s="30">
        <v>1</v>
      </c>
      <c r="O11" s="30">
        <v>0</v>
      </c>
    </row>
    <row r="13" spans="1:16" x14ac:dyDescent="0.25">
      <c r="A13" t="s">
        <v>36</v>
      </c>
    </row>
    <row r="14" spans="1:16" x14ac:dyDescent="0.25">
      <c r="A14" t="s">
        <v>34</v>
      </c>
    </row>
    <row r="15" spans="1:16" x14ac:dyDescent="0.25">
      <c r="A15" t="s">
        <v>35</v>
      </c>
      <c r="B15" s="1">
        <f>B11/B9</f>
        <v>4.0053552127345973E-2</v>
      </c>
      <c r="C15" s="1">
        <f t="shared" ref="C15:O15" si="0">C11/C9</f>
        <v>3.5140562248995984E-2</v>
      </c>
      <c r="D15" s="1">
        <f t="shared" si="0"/>
        <v>8.5748920695008612E-2</v>
      </c>
      <c r="E15" s="1">
        <f t="shared" si="0"/>
        <v>5.0150150150150147E-2</v>
      </c>
      <c r="F15" s="1">
        <f t="shared" si="0"/>
        <v>1.3207175241474472E-2</v>
      </c>
      <c r="G15" s="1">
        <f t="shared" si="0"/>
        <v>1.1592226389362428E-2</v>
      </c>
      <c r="H15" s="1">
        <f t="shared" si="0"/>
        <v>4.4438865177002261E-2</v>
      </c>
      <c r="I15" s="1">
        <f t="shared" si="0"/>
        <v>8.0183276059564712E-3</v>
      </c>
      <c r="J15" s="1">
        <f t="shared" si="0"/>
        <v>7.2948482997352876E-2</v>
      </c>
      <c r="K15" s="1">
        <f t="shared" si="0"/>
        <v>3.6072144288577156E-2</v>
      </c>
      <c r="L15" s="1">
        <f t="shared" si="0"/>
        <v>1.4592933947772658E-2</v>
      </c>
      <c r="M15" s="1">
        <f t="shared" si="0"/>
        <v>7.9575596816976128E-3</v>
      </c>
      <c r="N15" s="1">
        <f t="shared" si="0"/>
        <v>4.5454545454545452E-3</v>
      </c>
      <c r="O15" s="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t="s">
        <v>58</v>
      </c>
      <c r="B18" s="1">
        <v>0.15</v>
      </c>
      <c r="C18" s="1"/>
      <c r="D18" s="1">
        <v>0.56000000000000005</v>
      </c>
      <c r="E18" s="1"/>
      <c r="F18" s="1"/>
      <c r="G18" s="1"/>
      <c r="H18" s="1"/>
      <c r="I18" s="1"/>
      <c r="J18" s="1"/>
      <c r="K18" s="1"/>
      <c r="L18" s="1">
        <v>0.13</v>
      </c>
      <c r="M18" s="1"/>
      <c r="N18" s="1">
        <v>0.06</v>
      </c>
    </row>
    <row r="19" spans="1:15" x14ac:dyDescent="0.25">
      <c r="A19" t="s">
        <v>59</v>
      </c>
      <c r="B19" s="1">
        <v>0.05</v>
      </c>
      <c r="C19" s="1"/>
      <c r="D19" s="1">
        <v>0.1</v>
      </c>
      <c r="E19" s="1"/>
      <c r="F19" s="1"/>
      <c r="G19" s="1"/>
      <c r="H19" s="1"/>
      <c r="I19" s="1"/>
      <c r="J19" s="1"/>
      <c r="K19" s="1"/>
      <c r="L19" s="1"/>
      <c r="M19" s="1"/>
      <c r="N19" s="1">
        <v>0.04</v>
      </c>
    </row>
    <row r="20" spans="1:15" x14ac:dyDescent="0.25">
      <c r="B20" s="1"/>
      <c r="C20" s="1"/>
      <c r="D20" s="1"/>
      <c r="E20" s="1"/>
      <c r="F20" s="1"/>
      <c r="G20" s="1"/>
      <c r="H20" s="1"/>
      <c r="I20" s="1"/>
      <c r="J20" s="1"/>
      <c r="K20" s="1"/>
      <c r="L20" s="1"/>
      <c r="M20" s="1"/>
      <c r="N20" s="1"/>
    </row>
    <row r="22" spans="1:15" x14ac:dyDescent="0.25">
      <c r="A22" t="s">
        <v>42</v>
      </c>
    </row>
    <row r="23" spans="1:15" x14ac:dyDescent="0.25">
      <c r="A23" t="s">
        <v>41</v>
      </c>
      <c r="B23" s="7">
        <f t="shared" ref="B23:N23" si="1">B9/B6*100000</f>
        <v>57.004824152972553</v>
      </c>
      <c r="C23" s="7">
        <f t="shared" si="1"/>
        <v>0.78548895899053628</v>
      </c>
      <c r="D23" s="7">
        <f t="shared" si="1"/>
        <v>77.74636243386243</v>
      </c>
      <c r="E23" s="7">
        <f t="shared" si="1"/>
        <v>42.8204029147021</v>
      </c>
      <c r="F23" s="7">
        <f t="shared" si="1"/>
        <v>4.6512836185819069</v>
      </c>
      <c r="G23" s="7">
        <f t="shared" si="1"/>
        <v>17.095395375947156</v>
      </c>
      <c r="H23" s="7">
        <f t="shared" si="1"/>
        <v>5.9948826008428657</v>
      </c>
      <c r="I23" s="7">
        <f t="shared" si="1"/>
        <v>3.5487804878048781</v>
      </c>
      <c r="J23" s="7">
        <f t="shared" si="1"/>
        <v>24.204041399704288</v>
      </c>
      <c r="K23" s="7">
        <f t="shared" si="1"/>
        <v>18.622182415285863</v>
      </c>
      <c r="L23" s="7">
        <f t="shared" si="1"/>
        <v>3.4636871508379885</v>
      </c>
      <c r="M23" s="7">
        <f t="shared" si="1"/>
        <v>2.5716908273722856</v>
      </c>
      <c r="N23" s="7">
        <f t="shared" si="1"/>
        <v>7.5085324232081918</v>
      </c>
      <c r="O23" s="8">
        <f>D23*$O$6/100000</f>
        <v>429.71541839451061</v>
      </c>
    </row>
    <row r="24" spans="1:15" x14ac:dyDescent="0.25">
      <c r="A24" t="s">
        <v>34</v>
      </c>
      <c r="O24" s="27">
        <f>O23*D18</f>
        <v>240.64063430092597</v>
      </c>
    </row>
    <row r="25" spans="1:15" x14ac:dyDescent="0.25">
      <c r="A25" t="s">
        <v>35</v>
      </c>
      <c r="B25" s="7">
        <f>B11/B6*100000</f>
        <v>2.2832456957212774</v>
      </c>
      <c r="C25" s="7">
        <f t="shared" ref="C25:N25" si="2">C11/C6*100000</f>
        <v>2.7602523659305996E-2</v>
      </c>
      <c r="D25" s="7">
        <f t="shared" si="2"/>
        <v>6.666666666666667</v>
      </c>
      <c r="E25" s="7">
        <f t="shared" si="2"/>
        <v>2.1474496356622375</v>
      </c>
      <c r="F25" s="7">
        <f t="shared" si="2"/>
        <v>6.1430317848410756E-2</v>
      </c>
      <c r="G25" s="7">
        <f t="shared" si="2"/>
        <v>0.198173693413639</v>
      </c>
      <c r="H25" s="7">
        <f t="shared" si="2"/>
        <v>0.26640577965081275</v>
      </c>
      <c r="I25" s="7">
        <f t="shared" si="2"/>
        <v>2.8455284552845527E-2</v>
      </c>
      <c r="J25" s="7">
        <f t="shared" si="2"/>
        <v>1.7656481025135533</v>
      </c>
      <c r="K25" s="7">
        <f t="shared" si="2"/>
        <v>0.67174205105239593</v>
      </c>
      <c r="L25" s="7">
        <f t="shared" si="2"/>
        <v>5.0545357807927641E-2</v>
      </c>
      <c r="M25" s="7">
        <f t="shared" si="2"/>
        <v>2.0464383241689275E-2</v>
      </c>
      <c r="N25" s="7">
        <f t="shared" si="2"/>
        <v>3.4129692832764506E-2</v>
      </c>
      <c r="O25" s="8">
        <f>D25*$O$6/100000</f>
        <v>36.847633333333334</v>
      </c>
    </row>
    <row r="26" spans="1:15" x14ac:dyDescent="0.25">
      <c r="N26" s="1"/>
      <c r="O26" s="27">
        <f>O23*D19</f>
        <v>42.971541839451064</v>
      </c>
    </row>
    <row r="28" spans="1:15" x14ac:dyDescent="0.25">
      <c r="A28" s="10" t="s">
        <v>74</v>
      </c>
    </row>
    <row r="31" spans="1:15" x14ac:dyDescent="0.25">
      <c r="A31" t="s">
        <v>48</v>
      </c>
      <c r="B31" s="7">
        <f>B23*$L$6/100000</f>
        <v>21428.113399102382</v>
      </c>
      <c r="C31" s="7">
        <f t="shared" ref="C31:N31" si="3">C23*$L$6/100000</f>
        <v>295.26529968454258</v>
      </c>
      <c r="D31" s="7">
        <f t="shared" si="3"/>
        <v>29224.857638888887</v>
      </c>
      <c r="E31" s="7">
        <f t="shared" si="3"/>
        <v>16096.189455636521</v>
      </c>
      <c r="F31" s="7">
        <f t="shared" si="3"/>
        <v>1748.4175122249389</v>
      </c>
      <c r="G31" s="7">
        <f t="shared" si="3"/>
        <v>6426.1591218185367</v>
      </c>
      <c r="H31" s="7">
        <f t="shared" si="3"/>
        <v>2253.476369656833</v>
      </c>
      <c r="I31" s="7">
        <f t="shared" si="3"/>
        <v>1333.9865853658537</v>
      </c>
      <c r="J31" s="7">
        <f t="shared" si="3"/>
        <v>9098.2991621488418</v>
      </c>
      <c r="K31" s="7"/>
      <c r="L31" s="7">
        <f t="shared" si="3"/>
        <v>1301.9999999999998</v>
      </c>
      <c r="M31" s="7">
        <f t="shared" si="3"/>
        <v>966.69858200924216</v>
      </c>
      <c r="N31" s="7">
        <f t="shared" si="3"/>
        <v>2822.4573378839596</v>
      </c>
    </row>
    <row r="32" spans="1:15" x14ac:dyDescent="0.25">
      <c r="B32" s="7"/>
      <c r="C32" s="7"/>
      <c r="D32" s="7"/>
      <c r="E32" s="7"/>
      <c r="F32" s="7"/>
      <c r="G32" s="7"/>
      <c r="H32" s="7"/>
      <c r="I32" s="7"/>
      <c r="J32" s="7"/>
      <c r="K32" s="7"/>
      <c r="L32" s="7"/>
      <c r="M32" s="7"/>
      <c r="N32" s="7"/>
    </row>
    <row r="33" spans="1:14" x14ac:dyDescent="0.25">
      <c r="A33" t="s">
        <v>49</v>
      </c>
      <c r="B33" s="7">
        <f>B25*$L$6/100000</f>
        <v>858.27205702162814</v>
      </c>
      <c r="C33" s="7">
        <f t="shared" ref="C33:N33" si="4">C25*$L$6/100000</f>
        <v>10.375788643533124</v>
      </c>
      <c r="D33" s="7">
        <f t="shared" si="4"/>
        <v>2506</v>
      </c>
      <c r="E33" s="7">
        <f t="shared" si="4"/>
        <v>807.22631804543505</v>
      </c>
      <c r="F33" s="7">
        <f t="shared" si="4"/>
        <v>23.091656479217605</v>
      </c>
      <c r="G33" s="7">
        <f t="shared" si="4"/>
        <v>74.493491354186901</v>
      </c>
      <c r="H33" s="7">
        <f t="shared" si="4"/>
        <v>100.14193257074051</v>
      </c>
      <c r="I33" s="7">
        <f t="shared" si="4"/>
        <v>10.696341463414633</v>
      </c>
      <c r="J33" s="7">
        <f t="shared" si="4"/>
        <v>663.70712173484469</v>
      </c>
      <c r="K33" s="7"/>
      <c r="L33" s="7">
        <f t="shared" si="4"/>
        <v>19</v>
      </c>
      <c r="M33" s="7">
        <f t="shared" si="4"/>
        <v>7.6925616605509983</v>
      </c>
      <c r="N33" s="7">
        <f t="shared" si="4"/>
        <v>12.829351535836178</v>
      </c>
    </row>
    <row r="35" spans="1:14" x14ac:dyDescent="0.25">
      <c r="A35" t="s">
        <v>48</v>
      </c>
      <c r="B35" t="s">
        <v>75</v>
      </c>
    </row>
    <row r="36" spans="1:14" x14ac:dyDescent="0.25">
      <c r="A36" t="s">
        <v>50</v>
      </c>
      <c r="B36" s="7">
        <f>MIN($B$31:$M$31)</f>
        <v>295.26529968454258</v>
      </c>
      <c r="C36" s="7"/>
    </row>
    <row r="37" spans="1:14" x14ac:dyDescent="0.25">
      <c r="A37" t="s">
        <v>51</v>
      </c>
      <c r="B37" s="7">
        <f>MAX(B31:M31)</f>
        <v>29224.857638888887</v>
      </c>
      <c r="C37">
        <f>B37*1.6%</f>
        <v>467.59772222222222</v>
      </c>
      <c r="D37" t="s">
        <v>78</v>
      </c>
    </row>
    <row r="39" spans="1:14" x14ac:dyDescent="0.25">
      <c r="A39" t="s">
        <v>49</v>
      </c>
    </row>
    <row r="40" spans="1:14" x14ac:dyDescent="0.25">
      <c r="A40" t="s">
        <v>50</v>
      </c>
      <c r="B40" s="7">
        <f>MIN(B33:M33)</f>
        <v>7.6925616605509983</v>
      </c>
    </row>
    <row r="41" spans="1:14" x14ac:dyDescent="0.25">
      <c r="A41" t="s">
        <v>51</v>
      </c>
      <c r="B41" s="7">
        <f>MAX($B$33:$M$33)</f>
        <v>2506</v>
      </c>
      <c r="C41">
        <f>B41*1.6%</f>
        <v>40.096000000000004</v>
      </c>
      <c r="D41" t="s">
        <v>78</v>
      </c>
    </row>
    <row r="42" spans="1:14" x14ac:dyDescent="0.25">
      <c r="B42" s="7"/>
    </row>
    <row r="43" spans="1:14" x14ac:dyDescent="0.25">
      <c r="A43" t="s">
        <v>63</v>
      </c>
      <c r="B43" s="7" t="s">
        <v>65</v>
      </c>
      <c r="C43" t="s">
        <v>66</v>
      </c>
    </row>
    <row r="44" spans="1:14" x14ac:dyDescent="0.25">
      <c r="A44" t="s">
        <v>50</v>
      </c>
      <c r="B44" s="7">
        <f>B18*L9</f>
        <v>195.29999999999998</v>
      </c>
      <c r="C44" s="7">
        <f>B36*B18</f>
        <v>44.289794952681383</v>
      </c>
    </row>
    <row r="45" spans="1:14" x14ac:dyDescent="0.25">
      <c r="A45" t="s">
        <v>51</v>
      </c>
      <c r="B45" s="7">
        <f>L9*D18</f>
        <v>729.12000000000012</v>
      </c>
      <c r="C45" s="7">
        <f>B37*D18</f>
        <v>16365.920277777777</v>
      </c>
      <c r="D45">
        <f>C45*1.6%</f>
        <v>261.85472444444446</v>
      </c>
      <c r="E45" t="s">
        <v>78</v>
      </c>
    </row>
    <row r="46" spans="1:14" x14ac:dyDescent="0.25">
      <c r="B46" s="7"/>
    </row>
    <row r="47" spans="1:14" x14ac:dyDescent="0.25">
      <c r="A47" t="s">
        <v>64</v>
      </c>
      <c r="B47" s="7" t="s">
        <v>77</v>
      </c>
      <c r="C47" t="s">
        <v>76</v>
      </c>
    </row>
    <row r="48" spans="1:14" x14ac:dyDescent="0.25">
      <c r="A48" t="s">
        <v>50</v>
      </c>
      <c r="B48" s="7"/>
    </row>
    <row r="49" spans="1:14" x14ac:dyDescent="0.25">
      <c r="A49" t="s">
        <v>51</v>
      </c>
      <c r="B49" s="7">
        <f>L9*D19</f>
        <v>130.20000000000002</v>
      </c>
      <c r="C49" s="7">
        <f>B37*D19</f>
        <v>2922.4857638888889</v>
      </c>
      <c r="D49">
        <f>C49*1.6%</f>
        <v>46.759772222222225</v>
      </c>
      <c r="E49" t="s">
        <v>78</v>
      </c>
    </row>
    <row r="52" spans="1:14" x14ac:dyDescent="0.25">
      <c r="A52" s="10" t="s">
        <v>47</v>
      </c>
    </row>
    <row r="54" spans="1:14" x14ac:dyDescent="0.25">
      <c r="A54" t="s">
        <v>48</v>
      </c>
      <c r="B54" s="7">
        <f>B23*$M$6/100000</f>
        <v>8356.6883223010282</v>
      </c>
      <c r="C54" s="7">
        <f t="shared" ref="C54:M54" si="5">C23*$M$6/100000</f>
        <v>115.1496651104101</v>
      </c>
      <c r="D54" s="7">
        <f t="shared" si="5"/>
        <v>11397.318186772487</v>
      </c>
      <c r="E54" s="7">
        <f t="shared" si="5"/>
        <v>6277.3066369481348</v>
      </c>
      <c r="F54" s="7">
        <f t="shared" si="5"/>
        <v>681.86031755501222</v>
      </c>
      <c r="G54" s="7">
        <f t="shared" si="5"/>
        <v>2506.1193157956095</v>
      </c>
      <c r="H54" s="7">
        <f t="shared" si="5"/>
        <v>878.82676893437679</v>
      </c>
      <c r="I54" s="7">
        <f t="shared" si="5"/>
        <v>520.23759219512192</v>
      </c>
      <c r="J54" s="7">
        <f t="shared" si="5"/>
        <v>3548.219525677674</v>
      </c>
      <c r="K54" s="7">
        <f t="shared" si="5"/>
        <v>2729.9404329004328</v>
      </c>
      <c r="L54" s="7">
        <f t="shared" si="5"/>
        <v>507.76323575418985</v>
      </c>
      <c r="M54" s="7">
        <f t="shared" si="5"/>
        <v>376.99999999999994</v>
      </c>
      <c r="N54" s="7"/>
    </row>
    <row r="55" spans="1:14" x14ac:dyDescent="0.25">
      <c r="B55" s="7"/>
      <c r="C55" s="7"/>
      <c r="D55" s="7"/>
      <c r="E55" s="7"/>
      <c r="F55" s="7"/>
      <c r="G55" s="7"/>
      <c r="H55" s="7"/>
      <c r="I55" s="7"/>
      <c r="J55" s="7"/>
      <c r="K55" s="7"/>
      <c r="L55" s="7"/>
      <c r="M55" s="7"/>
      <c r="N55" s="7"/>
    </row>
    <row r="56" spans="1:14" x14ac:dyDescent="0.25">
      <c r="A56" t="s">
        <v>49</v>
      </c>
      <c r="B56" s="7">
        <f t="shared" ref="B56:M56" si="6">B25*$M$6/100000</f>
        <v>334.71505132926768</v>
      </c>
      <c r="C56" s="7">
        <f t="shared" si="6"/>
        <v>4.0464239747634068</v>
      </c>
      <c r="D56" s="7">
        <f t="shared" si="6"/>
        <v>977.30773333333343</v>
      </c>
      <c r="E56" s="7">
        <f t="shared" si="6"/>
        <v>314.80787038148304</v>
      </c>
      <c r="F56" s="7">
        <f t="shared" si="6"/>
        <v>9.0054487041564784</v>
      </c>
      <c r="G56" s="7">
        <f t="shared" si="6"/>
        <v>29.051502467456768</v>
      </c>
      <c r="H56" s="7">
        <f t="shared" si="6"/>
        <v>39.054064298615287</v>
      </c>
      <c r="I56" s="7">
        <f t="shared" si="6"/>
        <v>4.1714354471544715</v>
      </c>
      <c r="J56" s="7">
        <f t="shared" si="6"/>
        <v>258.83723173977324</v>
      </c>
      <c r="K56" s="7">
        <f t="shared" si="6"/>
        <v>98.474805194805214</v>
      </c>
      <c r="L56" s="7">
        <f t="shared" si="6"/>
        <v>7.4097553604682096</v>
      </c>
      <c r="M56" s="7">
        <f t="shared" si="6"/>
        <v>2.9999999999999996</v>
      </c>
      <c r="N56" s="7"/>
    </row>
    <row r="58" spans="1:14" x14ac:dyDescent="0.25">
      <c r="A58" t="s">
        <v>48</v>
      </c>
    </row>
    <row r="59" spans="1:14" x14ac:dyDescent="0.25">
      <c r="A59" t="s">
        <v>50</v>
      </c>
      <c r="B59" s="7">
        <f>MIN($B$54:$M$54)</f>
        <v>115.1496651104101</v>
      </c>
    </row>
    <row r="60" spans="1:14" x14ac:dyDescent="0.25">
      <c r="A60" t="s">
        <v>51</v>
      </c>
      <c r="B60" s="7">
        <f>MAX($B$54:$M$54)</f>
        <v>11397.318186772487</v>
      </c>
    </row>
    <row r="62" spans="1:14" x14ac:dyDescent="0.25">
      <c r="A62" t="s">
        <v>49</v>
      </c>
    </row>
    <row r="63" spans="1:14" x14ac:dyDescent="0.25">
      <c r="A63" t="s">
        <v>50</v>
      </c>
      <c r="B63" s="7">
        <f>MIN($B$56:$M$56)</f>
        <v>2.9999999999999996</v>
      </c>
    </row>
    <row r="64" spans="1:14" x14ac:dyDescent="0.25">
      <c r="A64" t="s">
        <v>51</v>
      </c>
      <c r="B64" s="7">
        <f>MAX($B$56:$M$56)</f>
        <v>977.30773333333343</v>
      </c>
    </row>
    <row r="65" spans="1:14" x14ac:dyDescent="0.25">
      <c r="B65" s="7"/>
    </row>
    <row r="66" spans="1:14" x14ac:dyDescent="0.25">
      <c r="A66" t="s">
        <v>63</v>
      </c>
      <c r="B66" s="7" t="s">
        <v>77</v>
      </c>
      <c r="C66" t="s">
        <v>76</v>
      </c>
    </row>
    <row r="67" spans="1:14" x14ac:dyDescent="0.25">
      <c r="A67" t="s">
        <v>50</v>
      </c>
      <c r="B67" s="7">
        <f>B18*M9</f>
        <v>56.55</v>
      </c>
    </row>
    <row r="68" spans="1:14" x14ac:dyDescent="0.25">
      <c r="A68" t="s">
        <v>51</v>
      </c>
      <c r="B68" s="7">
        <f>D18*M9</f>
        <v>211.12000000000003</v>
      </c>
      <c r="C68" s="7">
        <f>B60*D18</f>
        <v>6382.4981845925931</v>
      </c>
    </row>
    <row r="69" spans="1:14" x14ac:dyDescent="0.25">
      <c r="B69" s="7"/>
    </row>
    <row r="70" spans="1:14" x14ac:dyDescent="0.25">
      <c r="A70" t="s">
        <v>64</v>
      </c>
      <c r="B70" s="7" t="s">
        <v>77</v>
      </c>
      <c r="C70" t="s">
        <v>76</v>
      </c>
    </row>
    <row r="71" spans="1:14" x14ac:dyDescent="0.25">
      <c r="A71" t="s">
        <v>50</v>
      </c>
      <c r="B71" s="7">
        <f>B19*M9</f>
        <v>18.850000000000001</v>
      </c>
    </row>
    <row r="72" spans="1:14" x14ac:dyDescent="0.25">
      <c r="A72" t="s">
        <v>51</v>
      </c>
      <c r="B72">
        <f>D19*M9</f>
        <v>37.700000000000003</v>
      </c>
      <c r="C72" s="7">
        <f>B60*D19</f>
        <v>1139.7318186772488</v>
      </c>
    </row>
    <row r="74" spans="1:14" x14ac:dyDescent="0.25">
      <c r="A74" s="10" t="s">
        <v>52</v>
      </c>
    </row>
    <row r="76" spans="1:14" x14ac:dyDescent="0.25">
      <c r="A76" t="s">
        <v>48</v>
      </c>
      <c r="B76" s="7">
        <f>B23*$O$6/100000</f>
        <v>315.07392879298146</v>
      </c>
      <c r="C76" s="7">
        <f t="shared" ref="C76:M78" si="7">C23*$O$6/100000</f>
        <v>4.3415113722397471</v>
      </c>
      <c r="D76" s="7">
        <f t="shared" si="7"/>
        <v>429.71541839451061</v>
      </c>
      <c r="E76" s="7">
        <f t="shared" si="7"/>
        <v>236.67457586798113</v>
      </c>
      <c r="F76" s="7">
        <f t="shared" si="7"/>
        <v>25.708318996026893</v>
      </c>
      <c r="G76" s="7">
        <f t="shared" si="7"/>
        <v>94.48872907518944</v>
      </c>
      <c r="H76" s="7">
        <f t="shared" si="7"/>
        <v>33.134585392835646</v>
      </c>
      <c r="I76" s="7">
        <f t="shared" si="7"/>
        <v>19.614624329268292</v>
      </c>
      <c r="J76" s="7">
        <f t="shared" si="7"/>
        <v>133.77924640216855</v>
      </c>
      <c r="K76" s="7">
        <f t="shared" si="7"/>
        <v>102.92750242573518</v>
      </c>
      <c r="L76" s="7">
        <f t="shared" si="7"/>
        <v>19.144301117318435</v>
      </c>
      <c r="M76" s="7">
        <f t="shared" si="7"/>
        <v>14.214108098056592</v>
      </c>
      <c r="N76" s="7"/>
    </row>
    <row r="77" spans="1:14" x14ac:dyDescent="0.25">
      <c r="B77" s="7"/>
      <c r="C77" s="7"/>
      <c r="D77" s="7"/>
      <c r="E77" s="7"/>
      <c r="F77" s="7"/>
      <c r="G77" s="7"/>
      <c r="H77" s="7"/>
      <c r="I77" s="7"/>
      <c r="J77" s="7"/>
      <c r="K77" s="7"/>
      <c r="L77" s="7"/>
      <c r="M77" s="7"/>
      <c r="N77" s="7"/>
    </row>
    <row r="78" spans="1:14" x14ac:dyDescent="0.25">
      <c r="A78" t="s">
        <v>49</v>
      </c>
      <c r="B78" s="7">
        <f>B25*$O$6/100000</f>
        <v>12.619830030877381</v>
      </c>
      <c r="C78" s="7">
        <f t="shared" si="7"/>
        <v>0.15256315063091483</v>
      </c>
      <c r="D78" s="7">
        <f t="shared" si="7"/>
        <v>36.847633333333334</v>
      </c>
      <c r="E78" s="7">
        <f t="shared" si="7"/>
        <v>11.869265516502356</v>
      </c>
      <c r="F78" s="7">
        <f t="shared" si="7"/>
        <v>0.3395342741442543</v>
      </c>
      <c r="G78" s="7">
        <f t="shared" si="7"/>
        <v>1.0953347386827277</v>
      </c>
      <c r="H78" s="7">
        <f t="shared" si="7"/>
        <v>1.4724633729680914</v>
      </c>
      <c r="I78" s="7">
        <f t="shared" si="7"/>
        <v>0.15727648373983738</v>
      </c>
      <c r="J78" s="7">
        <f t="shared" si="7"/>
        <v>9.7589930815672741</v>
      </c>
      <c r="K78" s="7">
        <f t="shared" si="7"/>
        <v>3.712815718763995</v>
      </c>
      <c r="L78" s="7">
        <f t="shared" si="7"/>
        <v>0.2793715216812982</v>
      </c>
      <c r="M78" s="7">
        <f t="shared" si="7"/>
        <v>0.11310961351238667</v>
      </c>
      <c r="N78" s="7"/>
    </row>
    <row r="80" spans="1:14" x14ac:dyDescent="0.25">
      <c r="A80" t="s">
        <v>48</v>
      </c>
      <c r="B80" t="s">
        <v>72</v>
      </c>
      <c r="C80" t="s">
        <v>73</v>
      </c>
    </row>
    <row r="81" spans="1:3" x14ac:dyDescent="0.25">
      <c r="A81" t="s">
        <v>50</v>
      </c>
      <c r="B81" s="7">
        <f>MIN($B$76:$M$76)</f>
        <v>4.3415113722397471</v>
      </c>
      <c r="C81" s="7">
        <f>MIN($C$76:$M$76)</f>
        <v>4.3415113722397471</v>
      </c>
    </row>
    <row r="82" spans="1:3" x14ac:dyDescent="0.25">
      <c r="A82" t="s">
        <v>51</v>
      </c>
      <c r="B82" s="7">
        <f>MAX($B$76:$M$76)</f>
        <v>429.71541839451061</v>
      </c>
      <c r="C82" s="7">
        <f>MAX($C$76:$M$76)</f>
        <v>429.71541839451061</v>
      </c>
    </row>
    <row r="84" spans="1:3" x14ac:dyDescent="0.25">
      <c r="A84" t="s">
        <v>49</v>
      </c>
    </row>
    <row r="85" spans="1:3" x14ac:dyDescent="0.25">
      <c r="A85" t="s">
        <v>50</v>
      </c>
      <c r="B85" s="7">
        <f>MIN($B$78:$M$78)</f>
        <v>0.11310961351238667</v>
      </c>
      <c r="C85" s="7">
        <f>MIN($C$78:$M$78)</f>
        <v>0.11310961351238667</v>
      </c>
    </row>
    <row r="86" spans="1:3" x14ac:dyDescent="0.25">
      <c r="A86" t="s">
        <v>51</v>
      </c>
      <c r="B86" s="7">
        <f>MAX($B$78:$M$78)</f>
        <v>36.847633333333334</v>
      </c>
      <c r="C86" s="7">
        <f>MAX($C$78:$M$78)</f>
        <v>36.847633333333334</v>
      </c>
    </row>
    <row r="88" spans="1:3" x14ac:dyDescent="0.25">
      <c r="A88" t="s">
        <v>27</v>
      </c>
    </row>
    <row r="89" spans="1:3" x14ac:dyDescent="0.25">
      <c r="A89" t="s">
        <v>50</v>
      </c>
    </row>
    <row r="90" spans="1:3" x14ac:dyDescent="0.25">
      <c r="A90" t="s">
        <v>51</v>
      </c>
      <c r="B90" s="7">
        <f>B82*$D$18</f>
        <v>240.64063430092597</v>
      </c>
      <c r="C90" s="7">
        <f>C82*$D$18</f>
        <v>240.64063430092597</v>
      </c>
    </row>
    <row r="91" spans="1:3" x14ac:dyDescent="0.25">
      <c r="B91" s="7"/>
    </row>
    <row r="92" spans="1:3" x14ac:dyDescent="0.25">
      <c r="A92" t="s">
        <v>62</v>
      </c>
      <c r="B92" s="7"/>
    </row>
    <row r="93" spans="1:3" x14ac:dyDescent="0.25">
      <c r="A93" t="s">
        <v>50</v>
      </c>
      <c r="B93" s="7"/>
    </row>
    <row r="94" spans="1:3" x14ac:dyDescent="0.25">
      <c r="A94" t="s">
        <v>51</v>
      </c>
      <c r="B94" s="7">
        <f>B82*$D$19</f>
        <v>42.971541839451064</v>
      </c>
      <c r="C94" s="7">
        <f>C82*$D$19</f>
        <v>42.971541839451064</v>
      </c>
    </row>
  </sheetData>
  <hyperlinks>
    <hyperlink ref="D17" r:id="rId1" xr:uid="{CE5DC886-228E-4348-BD68-69EEA4018F1B}"/>
    <hyperlink ref="B17" r:id="rId2" xr:uid="{E9FEEB40-7070-46D1-9F1E-4C8D3950E126}"/>
    <hyperlink ref="B1" r:id="rId3" xr:uid="{C921E8EF-879A-4AAF-9449-8642114BA5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AF9D2-EE95-439E-82B0-7CC66542FB28}">
  <dimension ref="A1:P94"/>
  <sheetViews>
    <sheetView workbookViewId="0">
      <selection activeCell="A9" sqref="A9"/>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6" bestFit="1" customWidth="1"/>
  </cols>
  <sheetData>
    <row r="1" spans="1:16" x14ac:dyDescent="0.25">
      <c r="A1" s="26">
        <v>43916</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132</v>
      </c>
      <c r="C4" s="54">
        <v>72</v>
      </c>
      <c r="D4" s="54">
        <v>57</v>
      </c>
      <c r="E4" s="54">
        <v>57</v>
      </c>
      <c r="F4" s="54">
        <v>67</v>
      </c>
      <c r="G4" s="54">
        <v>67</v>
      </c>
      <c r="H4" s="54">
        <v>57</v>
      </c>
      <c r="I4" s="54">
        <v>63</v>
      </c>
      <c r="J4" s="54">
        <v>38</v>
      </c>
      <c r="K4" s="57">
        <v>38</v>
      </c>
      <c r="L4" s="62">
        <v>63</v>
      </c>
      <c r="M4" s="54">
        <v>63</v>
      </c>
      <c r="N4" s="54">
        <v>63</v>
      </c>
      <c r="O4" s="67">
        <v>23</v>
      </c>
    </row>
    <row r="5" spans="1:16" x14ac:dyDescent="0.25">
      <c r="A5" s="48" t="s">
        <v>33</v>
      </c>
      <c r="B5" s="48"/>
      <c r="C5" s="48"/>
      <c r="D5" s="48"/>
      <c r="E5" s="48"/>
      <c r="F5" s="48"/>
      <c r="G5" s="48"/>
      <c r="H5" s="48"/>
      <c r="I5" s="48"/>
      <c r="J5" s="48"/>
      <c r="K5" s="55"/>
      <c r="L5" s="60"/>
      <c r="M5" s="48"/>
      <c r="N5" s="48"/>
      <c r="O5" s="67"/>
    </row>
    <row r="6" spans="1:16" x14ac:dyDescent="0.25">
      <c r="A6" s="48" t="s">
        <v>32</v>
      </c>
      <c r="B6" s="43">
        <v>142823000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82078</v>
      </c>
      <c r="C9" s="54">
        <v>1387</v>
      </c>
      <c r="D9" s="54">
        <v>80539</v>
      </c>
      <c r="E9" s="54">
        <v>56188</v>
      </c>
      <c r="F9" s="54">
        <v>68334</v>
      </c>
      <c r="G9" s="54">
        <v>9332</v>
      </c>
      <c r="H9" s="54">
        <v>11662</v>
      </c>
      <c r="I9" s="54">
        <v>2985</v>
      </c>
      <c r="J9" s="54">
        <v>29406</v>
      </c>
      <c r="K9" s="57">
        <v>28786</v>
      </c>
      <c r="L9" s="62">
        <v>5264</v>
      </c>
      <c r="M9" s="54">
        <v>993</v>
      </c>
      <c r="N9" s="54">
        <v>512</v>
      </c>
      <c r="O9" s="67">
        <v>69</v>
      </c>
      <c r="P9" s="1"/>
    </row>
    <row r="10" spans="1:16" x14ac:dyDescent="0.25">
      <c r="A10" s="48" t="s">
        <v>34</v>
      </c>
      <c r="B10" s="54"/>
      <c r="C10" s="54"/>
      <c r="D10" s="54"/>
      <c r="E10" s="54"/>
      <c r="F10" s="54"/>
      <c r="G10" s="54"/>
      <c r="H10" s="54"/>
      <c r="I10" s="54"/>
      <c r="J10" s="54"/>
      <c r="K10" s="57"/>
      <c r="L10" s="62"/>
      <c r="M10" s="54"/>
      <c r="N10" s="54">
        <v>36</v>
      </c>
      <c r="O10" s="67">
        <v>11</v>
      </c>
    </row>
    <row r="11" spans="1:16" x14ac:dyDescent="0.25">
      <c r="A11" s="48" t="s">
        <v>35</v>
      </c>
      <c r="B11" s="54">
        <v>3298</v>
      </c>
      <c r="C11" s="54">
        <v>46</v>
      </c>
      <c r="D11" s="54">
        <v>8165</v>
      </c>
      <c r="E11" s="54">
        <v>4089</v>
      </c>
      <c r="F11" s="54">
        <v>991</v>
      </c>
      <c r="G11" s="54">
        <v>139</v>
      </c>
      <c r="H11" s="54">
        <v>578</v>
      </c>
      <c r="I11" s="54">
        <v>13</v>
      </c>
      <c r="J11" s="54">
        <v>2234</v>
      </c>
      <c r="K11" s="57">
        <v>1695</v>
      </c>
      <c r="L11" s="62">
        <v>59</v>
      </c>
      <c r="M11" s="54">
        <v>18</v>
      </c>
      <c r="N11" s="54">
        <v>4</v>
      </c>
      <c r="O11" s="67">
        <v>0</v>
      </c>
    </row>
    <row r="13" spans="1:16" x14ac:dyDescent="0.25">
      <c r="A13" s="48" t="s">
        <v>36</v>
      </c>
      <c r="B13" s="48"/>
      <c r="C13" s="48"/>
      <c r="D13" s="48"/>
      <c r="E13" s="48"/>
      <c r="F13" s="48"/>
      <c r="G13" s="48"/>
      <c r="H13" s="48"/>
      <c r="I13" s="48"/>
      <c r="J13" s="48"/>
      <c r="K13" s="48"/>
      <c r="L13" s="48"/>
      <c r="M13" s="48"/>
      <c r="N13" s="48"/>
      <c r="O13" s="48"/>
    </row>
    <row r="14" spans="1:16" x14ac:dyDescent="0.25">
      <c r="A14" s="48" t="s">
        <v>34</v>
      </c>
      <c r="B14" s="48"/>
      <c r="C14" s="48"/>
      <c r="D14" s="48"/>
      <c r="E14" s="48"/>
      <c r="F14" s="48"/>
      <c r="G14" s="48"/>
      <c r="H14" s="48"/>
      <c r="I14" s="48"/>
      <c r="J14" s="48"/>
      <c r="K14" s="48"/>
      <c r="L14" s="48"/>
      <c r="M14" s="48"/>
      <c r="N14" s="48"/>
      <c r="O14" s="48"/>
    </row>
    <row r="15" spans="1:16" x14ac:dyDescent="0.25">
      <c r="A15" s="48" t="s">
        <v>35</v>
      </c>
      <c r="B15" s="71">
        <f>B11/B9</f>
        <v>4.018129096712883E-2</v>
      </c>
      <c r="C15" s="71">
        <f t="shared" ref="C15:O15" si="0">C11/C9</f>
        <v>3.3165104542177359E-2</v>
      </c>
      <c r="D15" s="71">
        <f t="shared" si="0"/>
        <v>0.10137945591576751</v>
      </c>
      <c r="E15" s="71">
        <f t="shared" si="0"/>
        <v>7.2773545952872498E-2</v>
      </c>
      <c r="F15" s="71">
        <f t="shared" si="0"/>
        <v>1.45022975385606E-2</v>
      </c>
      <c r="G15" s="71">
        <f t="shared" si="0"/>
        <v>1.4894984997856837E-2</v>
      </c>
      <c r="H15" s="71">
        <f t="shared" si="0"/>
        <v>4.9562682215743441E-2</v>
      </c>
      <c r="I15" s="71">
        <f t="shared" si="0"/>
        <v>4.3551088777219428E-3</v>
      </c>
      <c r="J15" s="71">
        <f t="shared" si="0"/>
        <v>7.5970890294497717E-2</v>
      </c>
      <c r="K15" s="71">
        <f t="shared" si="0"/>
        <v>5.888279024525811E-2</v>
      </c>
      <c r="L15" s="71">
        <f t="shared" si="0"/>
        <v>1.1208206686930091E-2</v>
      </c>
      <c r="M15" s="71">
        <f t="shared" si="0"/>
        <v>1.812688821752266E-2</v>
      </c>
      <c r="N15" s="71">
        <f t="shared" si="0"/>
        <v>7.8125E-3</v>
      </c>
      <c r="O15" s="7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s="48" t="s">
        <v>58</v>
      </c>
      <c r="B18" s="72">
        <v>0.15</v>
      </c>
      <c r="C18" s="72"/>
      <c r="D18" s="72">
        <v>0.56000000000000005</v>
      </c>
      <c r="E18" s="72"/>
      <c r="F18" s="72"/>
      <c r="G18" s="72"/>
      <c r="H18" s="72"/>
      <c r="I18" s="72"/>
      <c r="J18" s="72"/>
      <c r="K18" s="72"/>
      <c r="L18" s="72">
        <v>0.13</v>
      </c>
      <c r="M18" s="72"/>
      <c r="N18" s="72">
        <f>N10/N9</f>
        <v>7.03125E-2</v>
      </c>
      <c r="O18" s="72">
        <f>O10/O9</f>
        <v>0.15942028985507245</v>
      </c>
    </row>
    <row r="19" spans="1:15" x14ac:dyDescent="0.25">
      <c r="A19" s="48" t="s">
        <v>59</v>
      </c>
      <c r="B19" s="72">
        <v>0.05</v>
      </c>
      <c r="C19" s="72"/>
      <c r="D19" s="72">
        <v>0.1</v>
      </c>
      <c r="E19" s="72"/>
      <c r="F19" s="72"/>
      <c r="G19" s="72"/>
      <c r="H19" s="72"/>
      <c r="I19" s="72"/>
      <c r="J19" s="72"/>
      <c r="K19" s="72"/>
      <c r="L19" s="72"/>
      <c r="M19" s="72"/>
      <c r="N19" s="72">
        <v>0.04</v>
      </c>
      <c r="O19" s="73"/>
    </row>
    <row r="20" spans="1:15" x14ac:dyDescent="0.25">
      <c r="B20" s="1"/>
      <c r="C20" s="1"/>
      <c r="D20" s="1"/>
      <c r="E20" s="1"/>
      <c r="F20" s="1"/>
      <c r="G20" s="1"/>
      <c r="H20" s="1"/>
      <c r="I20" s="1"/>
      <c r="J20" s="1"/>
      <c r="K20" s="1"/>
      <c r="L20" s="1"/>
      <c r="M20" s="1"/>
      <c r="N20" s="2"/>
    </row>
    <row r="22" spans="1:15" x14ac:dyDescent="0.25">
      <c r="A22" t="s">
        <v>42</v>
      </c>
    </row>
    <row r="23" spans="1:15" x14ac:dyDescent="0.25">
      <c r="A23" s="48" t="s">
        <v>41</v>
      </c>
      <c r="B23" s="66">
        <f t="shared" ref="B23:M23" si="1">B9/B6*100000</f>
        <v>57.468334932048755</v>
      </c>
      <c r="C23" s="66">
        <f t="shared" si="1"/>
        <v>1.0938485804416402</v>
      </c>
      <c r="D23" s="66">
        <f t="shared" si="1"/>
        <v>133.16633597883597</v>
      </c>
      <c r="E23" s="66">
        <f t="shared" si="1"/>
        <v>120.42006000857265</v>
      </c>
      <c r="F23" s="66">
        <f t="shared" si="1"/>
        <v>20.884474327628361</v>
      </c>
      <c r="G23" s="66">
        <f t="shared" si="1"/>
        <v>18.130950068000779</v>
      </c>
      <c r="H23" s="66">
        <f t="shared" si="1"/>
        <v>17.552679108970498</v>
      </c>
      <c r="I23" s="66">
        <f t="shared" si="1"/>
        <v>12.134146341463413</v>
      </c>
      <c r="J23" s="66">
        <f t="shared" si="1"/>
        <v>36.232134056185309</v>
      </c>
      <c r="K23" s="66">
        <f t="shared" si="1"/>
        <v>42.970592625765036</v>
      </c>
      <c r="L23" s="66">
        <f t="shared" si="1"/>
        <v>14.003724394785847</v>
      </c>
      <c r="M23" s="66">
        <f t="shared" si="1"/>
        <v>6.7737108529991508</v>
      </c>
      <c r="N23" s="66">
        <f>N9/$N$6*100000</f>
        <v>17.474402730375427</v>
      </c>
      <c r="O23" s="66">
        <f>O9/$O$6*100000</f>
        <v>12.483841115078398</v>
      </c>
    </row>
    <row r="24" spans="1:15" x14ac:dyDescent="0.25">
      <c r="A24" s="48" t="s">
        <v>34</v>
      </c>
      <c r="B24" s="65"/>
      <c r="C24" s="65"/>
      <c r="D24" s="65"/>
      <c r="E24" s="65"/>
      <c r="F24" s="65"/>
      <c r="G24" s="65"/>
      <c r="H24" s="65"/>
      <c r="I24" s="65"/>
      <c r="J24" s="65"/>
      <c r="K24" s="65"/>
      <c r="L24" s="65"/>
      <c r="M24" s="65"/>
      <c r="N24" s="66">
        <f>N10/$N$6*100000</f>
        <v>1.228668941979522</v>
      </c>
      <c r="O24" s="66">
        <f>O10/$O$6*100000</f>
        <v>1.9901775690704693</v>
      </c>
    </row>
    <row r="25" spans="1:15" x14ac:dyDescent="0.25">
      <c r="A25" s="48" t="s">
        <v>35</v>
      </c>
      <c r="B25" s="66">
        <f>B11/B6*100000</f>
        <v>2.309151887301065</v>
      </c>
      <c r="C25" s="66">
        <f t="shared" ref="C25:O25" si="2">C11/C6*100000</f>
        <v>3.6277602523659302E-2</v>
      </c>
      <c r="D25" s="66">
        <f t="shared" si="2"/>
        <v>13.500330687830688</v>
      </c>
      <c r="E25" s="66">
        <f t="shared" si="2"/>
        <v>8.7633947706815274</v>
      </c>
      <c r="F25" s="66">
        <f t="shared" si="2"/>
        <v>0.30287286063569679</v>
      </c>
      <c r="G25" s="66">
        <f t="shared" si="2"/>
        <v>0.27006022925976297</v>
      </c>
      <c r="H25" s="66">
        <f t="shared" si="2"/>
        <v>0.86995785671282355</v>
      </c>
      <c r="I25" s="66">
        <f t="shared" si="2"/>
        <v>5.2845528455284549E-2</v>
      </c>
      <c r="J25" s="66">
        <f t="shared" si="2"/>
        <v>2.7525874815179892</v>
      </c>
      <c r="K25" s="66">
        <f t="shared" si="2"/>
        <v>2.5302283922973579</v>
      </c>
      <c r="L25" s="66">
        <f t="shared" si="2"/>
        <v>0.15695663740356477</v>
      </c>
      <c r="M25" s="66">
        <f t="shared" si="2"/>
        <v>0.12278629945013567</v>
      </c>
      <c r="N25" s="66">
        <f t="shared" si="2"/>
        <v>0.13651877133105803</v>
      </c>
      <c r="O25" s="66">
        <f t="shared" si="2"/>
        <v>0</v>
      </c>
    </row>
    <row r="26" spans="1:15" x14ac:dyDescent="0.25">
      <c r="N26" s="1"/>
      <c r="O26" s="31"/>
    </row>
    <row r="28" spans="1:15" hidden="1" x14ac:dyDescent="0.25">
      <c r="A28" s="10" t="s">
        <v>74</v>
      </c>
    </row>
    <row r="29" spans="1:15" hidden="1" x14ac:dyDescent="0.25"/>
    <row r="30" spans="1:15" hidden="1" x14ac:dyDescent="0.25"/>
    <row r="31" spans="1:15" hidden="1" x14ac:dyDescent="0.25">
      <c r="A31" t="s">
        <v>48</v>
      </c>
      <c r="B31" s="7">
        <f t="shared" ref="B31:O31" si="3">B23*$L$6/100000</f>
        <v>21602.347100957126</v>
      </c>
      <c r="C31" s="7">
        <f t="shared" si="3"/>
        <v>411.17768138801256</v>
      </c>
      <c r="D31" s="7">
        <f t="shared" si="3"/>
        <v>50057.225694444445</v>
      </c>
      <c r="E31" s="7">
        <f t="shared" si="3"/>
        <v>45265.900557222463</v>
      </c>
      <c r="F31" s="7">
        <f t="shared" si="3"/>
        <v>7850.4738997555005</v>
      </c>
      <c r="G31" s="7">
        <f t="shared" si="3"/>
        <v>6815.4241305614923</v>
      </c>
      <c r="H31" s="7">
        <f t="shared" si="3"/>
        <v>6598.0520770620096</v>
      </c>
      <c r="I31" s="7">
        <f t="shared" si="3"/>
        <v>4561.2256097560976</v>
      </c>
      <c r="J31" s="7">
        <f t="shared" si="3"/>
        <v>13619.659191720057</v>
      </c>
      <c r="K31" s="7">
        <f t="shared" si="3"/>
        <v>16152.645768025077</v>
      </c>
      <c r="L31" s="7">
        <f t="shared" si="3"/>
        <v>5264</v>
      </c>
      <c r="M31" s="7">
        <f t="shared" si="3"/>
        <v>2546.2379096423806</v>
      </c>
      <c r="N31" s="7">
        <f t="shared" si="3"/>
        <v>6568.6279863481232</v>
      </c>
      <c r="O31" s="7">
        <f t="shared" si="3"/>
        <v>4692.67587515797</v>
      </c>
    </row>
    <row r="32" spans="1:15" hidden="1" x14ac:dyDescent="0.25">
      <c r="B32" s="7"/>
      <c r="C32" s="7"/>
      <c r="D32" s="7"/>
      <c r="E32" s="7"/>
      <c r="F32" s="7"/>
      <c r="G32" s="7"/>
      <c r="H32" s="7"/>
      <c r="I32" s="7"/>
      <c r="J32" s="7"/>
      <c r="K32" s="7"/>
      <c r="L32" s="7"/>
      <c r="M32" s="7"/>
      <c r="N32" s="7"/>
      <c r="O32" s="7"/>
    </row>
    <row r="33" spans="1:15" hidden="1" x14ac:dyDescent="0.25">
      <c r="A33" t="s">
        <v>49</v>
      </c>
      <c r="B33" s="7">
        <f t="shared" ref="B33:O33" si="4">B25*$L$6/100000</f>
        <v>868.01019443647021</v>
      </c>
      <c r="C33" s="7">
        <f t="shared" si="4"/>
        <v>13.636750788643532</v>
      </c>
      <c r="D33" s="7">
        <f t="shared" si="4"/>
        <v>5074.7743055555557</v>
      </c>
      <c r="E33" s="7">
        <f t="shared" si="4"/>
        <v>3294.1600942991859</v>
      </c>
      <c r="F33" s="7">
        <f t="shared" si="4"/>
        <v>113.84990831295842</v>
      </c>
      <c r="G33" s="7">
        <f t="shared" si="4"/>
        <v>101.5156401787449</v>
      </c>
      <c r="H33" s="7">
        <f t="shared" si="4"/>
        <v>327.01715833835033</v>
      </c>
      <c r="I33" s="7">
        <f t="shared" si="4"/>
        <v>19.864634146341462</v>
      </c>
      <c r="J33" s="7">
        <f t="shared" si="4"/>
        <v>1034.6976343026122</v>
      </c>
      <c r="K33" s="7">
        <f t="shared" si="4"/>
        <v>951.11285266457674</v>
      </c>
      <c r="L33" s="7">
        <f t="shared" si="4"/>
        <v>59</v>
      </c>
      <c r="M33" s="7">
        <f t="shared" si="4"/>
        <v>46.155369963305994</v>
      </c>
      <c r="N33" s="7">
        <f t="shared" si="4"/>
        <v>51.317406143344712</v>
      </c>
      <c r="O33" s="7">
        <f t="shared" si="4"/>
        <v>0</v>
      </c>
    </row>
    <row r="34" spans="1:15" hidden="1" x14ac:dyDescent="0.25"/>
    <row r="35" spans="1:15" hidden="1" x14ac:dyDescent="0.25">
      <c r="A35" t="s">
        <v>48</v>
      </c>
      <c r="B35" t="s">
        <v>75</v>
      </c>
    </row>
    <row r="36" spans="1:15" hidden="1" x14ac:dyDescent="0.25">
      <c r="A36" t="s">
        <v>50</v>
      </c>
      <c r="B36" s="7">
        <f>MIN($B$31:$M$31)</f>
        <v>411.17768138801256</v>
      </c>
      <c r="C36" s="7"/>
    </row>
    <row r="37" spans="1:15" hidden="1" x14ac:dyDescent="0.25">
      <c r="A37" t="s">
        <v>51</v>
      </c>
      <c r="B37" s="7">
        <f>MAX(B31:M31)</f>
        <v>50057.225694444445</v>
      </c>
      <c r="C37">
        <f>B37*1.6%</f>
        <v>800.91561111111116</v>
      </c>
      <c r="D37" t="s">
        <v>78</v>
      </c>
    </row>
    <row r="38" spans="1:15" hidden="1" x14ac:dyDescent="0.25"/>
    <row r="39" spans="1:15" hidden="1" x14ac:dyDescent="0.25">
      <c r="A39" t="s">
        <v>49</v>
      </c>
    </row>
    <row r="40" spans="1:15" hidden="1" x14ac:dyDescent="0.25">
      <c r="A40" t="s">
        <v>50</v>
      </c>
      <c r="B40" s="7">
        <f>MIN(B33:M33)</f>
        <v>13.636750788643532</v>
      </c>
    </row>
    <row r="41" spans="1:15" hidden="1" x14ac:dyDescent="0.25">
      <c r="A41" t="s">
        <v>51</v>
      </c>
      <c r="B41" s="7">
        <f>MAX($B$33:$M$33)</f>
        <v>5074.7743055555557</v>
      </c>
      <c r="C41">
        <f>B41*1.6%</f>
        <v>81.19638888888889</v>
      </c>
      <c r="D41" t="s">
        <v>78</v>
      </c>
    </row>
    <row r="42" spans="1:15" hidden="1" x14ac:dyDescent="0.25">
      <c r="B42" s="7"/>
    </row>
    <row r="43" spans="1:15" hidden="1" x14ac:dyDescent="0.25">
      <c r="A43" t="s">
        <v>63</v>
      </c>
      <c r="B43" s="7" t="s">
        <v>65</v>
      </c>
      <c r="C43" t="s">
        <v>66</v>
      </c>
    </row>
    <row r="44" spans="1:15" hidden="1" x14ac:dyDescent="0.25">
      <c r="A44" t="s">
        <v>50</v>
      </c>
      <c r="B44" s="7">
        <f>B18*L9</f>
        <v>789.6</v>
      </c>
      <c r="C44" s="7">
        <f>B36*B18</f>
        <v>61.67665220820188</v>
      </c>
    </row>
    <row r="45" spans="1:15" hidden="1" x14ac:dyDescent="0.25">
      <c r="A45" t="s">
        <v>51</v>
      </c>
      <c r="B45" s="7">
        <f>L9*D18</f>
        <v>2947.84</v>
      </c>
      <c r="C45" s="7">
        <f>B37*D18</f>
        <v>28032.046388888892</v>
      </c>
      <c r="D45">
        <f>C45*1.6%</f>
        <v>448.5127422222223</v>
      </c>
      <c r="E45" t="s">
        <v>78</v>
      </c>
    </row>
    <row r="46" spans="1:15" hidden="1" x14ac:dyDescent="0.25">
      <c r="B46" s="7"/>
    </row>
    <row r="47" spans="1:15" hidden="1" x14ac:dyDescent="0.25">
      <c r="A47" t="s">
        <v>64</v>
      </c>
      <c r="B47" s="7" t="s">
        <v>77</v>
      </c>
      <c r="C47" t="s">
        <v>76</v>
      </c>
    </row>
    <row r="48" spans="1:15" hidden="1" x14ac:dyDescent="0.25">
      <c r="A48" t="s">
        <v>50</v>
      </c>
      <c r="B48" s="7"/>
    </row>
    <row r="49" spans="1:14" hidden="1" x14ac:dyDescent="0.25">
      <c r="A49" t="s">
        <v>51</v>
      </c>
      <c r="B49" s="7">
        <f>L9*D19</f>
        <v>526.4</v>
      </c>
      <c r="C49" s="7">
        <f>B37*D19</f>
        <v>5005.7225694444451</v>
      </c>
      <c r="D49">
        <f>C49*1.6%</f>
        <v>80.091561111111119</v>
      </c>
      <c r="E49" t="s">
        <v>78</v>
      </c>
    </row>
    <row r="50" spans="1:14" hidden="1" x14ac:dyDescent="0.25"/>
    <row r="51" spans="1:14" hidden="1" x14ac:dyDescent="0.25"/>
    <row r="52" spans="1:14" hidden="1" x14ac:dyDescent="0.25">
      <c r="A52" s="10" t="s">
        <v>47</v>
      </c>
    </row>
    <row r="53" spans="1:14" hidden="1" x14ac:dyDescent="0.25"/>
    <row r="54" spans="1:14" hidden="1" x14ac:dyDescent="0.25">
      <c r="A54" t="s">
        <v>48</v>
      </c>
      <c r="B54" s="7">
        <f t="shared" ref="B54:M54" si="5">B23*$M$6/100000</f>
        <v>8424.6372226322073</v>
      </c>
      <c r="C54" s="7">
        <f t="shared" si="5"/>
        <v>160.35400151419555</v>
      </c>
      <c r="D54" s="7">
        <f t="shared" si="5"/>
        <v>19521.673495767194</v>
      </c>
      <c r="E54" s="7">
        <f t="shared" si="5"/>
        <v>17653.118384226316</v>
      </c>
      <c r="F54" s="7">
        <f t="shared" si="5"/>
        <v>3061.5837400488995</v>
      </c>
      <c r="G54" s="7">
        <f t="shared" si="5"/>
        <v>2657.9276571206533</v>
      </c>
      <c r="H54" s="7">
        <f t="shared" si="5"/>
        <v>2573.1553550872968</v>
      </c>
      <c r="I54" s="7">
        <f t="shared" si="5"/>
        <v>1778.8192585365853</v>
      </c>
      <c r="J54" s="7">
        <f t="shared" si="5"/>
        <v>5311.4917212419905</v>
      </c>
      <c r="K54" s="7">
        <f t="shared" si="5"/>
        <v>6299.3238718614712</v>
      </c>
      <c r="L54" s="7">
        <f t="shared" si="5"/>
        <v>2052.8922219739293</v>
      </c>
      <c r="M54" s="7">
        <f t="shared" si="5"/>
        <v>993</v>
      </c>
      <c r="N54" s="7"/>
    </row>
    <row r="55" spans="1:14" hidden="1" x14ac:dyDescent="0.25">
      <c r="B55" s="7"/>
      <c r="C55" s="7"/>
      <c r="D55" s="7"/>
      <c r="E55" s="7"/>
      <c r="F55" s="7"/>
      <c r="G55" s="7"/>
      <c r="H55" s="7"/>
      <c r="I55" s="7"/>
      <c r="J55" s="7"/>
      <c r="K55" s="7"/>
      <c r="L55" s="7"/>
      <c r="M55" s="7"/>
      <c r="N55" s="7"/>
    </row>
    <row r="56" spans="1:14" hidden="1" x14ac:dyDescent="0.25">
      <c r="A56" t="s">
        <v>49</v>
      </c>
      <c r="B56" s="7">
        <f t="shared" ref="B56:M56" si="6">B25*$M$6/100000</f>
        <v>338.5127995350889</v>
      </c>
      <c r="C56" s="7">
        <f t="shared" si="6"/>
        <v>5.3181572239747634</v>
      </c>
      <c r="D56" s="7">
        <f t="shared" si="6"/>
        <v>1979.0966375661376</v>
      </c>
      <c r="E56" s="7">
        <f t="shared" si="6"/>
        <v>1284.6800219459926</v>
      </c>
      <c r="F56" s="7">
        <f t="shared" si="6"/>
        <v>44.399998337408313</v>
      </c>
      <c r="G56" s="7">
        <f t="shared" si="6"/>
        <v>39.589792578200893</v>
      </c>
      <c r="H56" s="7">
        <f t="shared" si="6"/>
        <v>127.53248115593016</v>
      </c>
      <c r="I56" s="7">
        <f t="shared" si="6"/>
        <v>7.7469515447154462</v>
      </c>
      <c r="J56" s="7">
        <f t="shared" si="6"/>
        <v>403.51875485460818</v>
      </c>
      <c r="K56" s="7">
        <f t="shared" si="6"/>
        <v>370.92176623376622</v>
      </c>
      <c r="L56" s="7">
        <f t="shared" si="6"/>
        <v>23.009240329874967</v>
      </c>
      <c r="M56" s="7">
        <f t="shared" si="6"/>
        <v>18</v>
      </c>
      <c r="N56" s="7"/>
    </row>
    <row r="57" spans="1:14" hidden="1" x14ac:dyDescent="0.25"/>
    <row r="58" spans="1:14" hidden="1" x14ac:dyDescent="0.25">
      <c r="A58" t="s">
        <v>48</v>
      </c>
    </row>
    <row r="59" spans="1:14" hidden="1" x14ac:dyDescent="0.25">
      <c r="A59" t="s">
        <v>50</v>
      </c>
      <c r="B59" s="7">
        <f>MIN($B$54:$M$54)</f>
        <v>160.35400151419555</v>
      </c>
    </row>
    <row r="60" spans="1:14" hidden="1" x14ac:dyDescent="0.25">
      <c r="A60" t="s">
        <v>51</v>
      </c>
      <c r="B60" s="7">
        <f>MAX($B$54:$M$54)</f>
        <v>19521.673495767194</v>
      </c>
    </row>
    <row r="61" spans="1:14" hidden="1" x14ac:dyDescent="0.25"/>
    <row r="62" spans="1:14" hidden="1" x14ac:dyDescent="0.25">
      <c r="A62" t="s">
        <v>49</v>
      </c>
    </row>
    <row r="63" spans="1:14" hidden="1" x14ac:dyDescent="0.25">
      <c r="A63" t="s">
        <v>50</v>
      </c>
      <c r="B63" s="7">
        <f>MIN($B$56:$M$56)</f>
        <v>5.3181572239747634</v>
      </c>
    </row>
    <row r="64" spans="1:14" hidden="1" x14ac:dyDescent="0.25">
      <c r="A64" t="s">
        <v>51</v>
      </c>
      <c r="B64" s="7">
        <f>MAX($B$56:$M$56)</f>
        <v>1979.0966375661376</v>
      </c>
    </row>
    <row r="65" spans="1:14" hidden="1" x14ac:dyDescent="0.25">
      <c r="B65" s="7"/>
    </row>
    <row r="66" spans="1:14" hidden="1" x14ac:dyDescent="0.25">
      <c r="A66" t="s">
        <v>63</v>
      </c>
      <c r="B66" s="7" t="s">
        <v>77</v>
      </c>
      <c r="C66" t="s">
        <v>76</v>
      </c>
    </row>
    <row r="67" spans="1:14" hidden="1" x14ac:dyDescent="0.25">
      <c r="A67" t="s">
        <v>50</v>
      </c>
      <c r="B67" s="7">
        <f>B18*M9</f>
        <v>148.94999999999999</v>
      </c>
    </row>
    <row r="68" spans="1:14" hidden="1" x14ac:dyDescent="0.25">
      <c r="A68" t="s">
        <v>51</v>
      </c>
      <c r="B68" s="7">
        <f>D18*M9</f>
        <v>556.08000000000004</v>
      </c>
      <c r="C68" s="7">
        <f>B60*D18</f>
        <v>10932.13715762963</v>
      </c>
    </row>
    <row r="69" spans="1:14" hidden="1" x14ac:dyDescent="0.25">
      <c r="B69" s="7"/>
    </row>
    <row r="70" spans="1:14" hidden="1" x14ac:dyDescent="0.25">
      <c r="A70" t="s">
        <v>64</v>
      </c>
      <c r="B70" s="7" t="s">
        <v>77</v>
      </c>
      <c r="C70" t="s">
        <v>76</v>
      </c>
    </row>
    <row r="71" spans="1:14" hidden="1" x14ac:dyDescent="0.25">
      <c r="A71" t="s">
        <v>50</v>
      </c>
      <c r="B71" s="7">
        <f>B19*M9</f>
        <v>49.650000000000006</v>
      </c>
    </row>
    <row r="72" spans="1:14" hidden="1" x14ac:dyDescent="0.25">
      <c r="A72" t="s">
        <v>51</v>
      </c>
      <c r="B72">
        <f>D19*M9</f>
        <v>99.300000000000011</v>
      </c>
      <c r="C72" s="7">
        <f>B60*D19</f>
        <v>1952.1673495767195</v>
      </c>
    </row>
    <row r="74" spans="1:14" x14ac:dyDescent="0.25">
      <c r="A74" s="10" t="s">
        <v>52</v>
      </c>
    </row>
    <row r="76" spans="1:14" x14ac:dyDescent="0.25">
      <c r="A76" s="48" t="s">
        <v>48</v>
      </c>
      <c r="B76" s="43">
        <f t="shared" ref="B76:M76" si="7">B23*$O$6/100000</f>
        <v>317.63582007799857</v>
      </c>
      <c r="C76" s="43">
        <f t="shared" si="7"/>
        <v>6.0458597121451101</v>
      </c>
      <c r="D76" s="43">
        <f t="shared" si="7"/>
        <v>736.02964807374349</v>
      </c>
      <c r="E76" s="43">
        <f t="shared" si="7"/>
        <v>665.57913257608232</v>
      </c>
      <c r="F76" s="43">
        <f t="shared" si="7"/>
        <v>115.43151785757946</v>
      </c>
      <c r="G76" s="43">
        <f t="shared" si="7"/>
        <v>100.21239001360016</v>
      </c>
      <c r="H76" s="43">
        <f t="shared" si="7"/>
        <v>97.016202573750746</v>
      </c>
      <c r="I76" s="43">
        <f t="shared" si="7"/>
        <v>67.067186280487789</v>
      </c>
      <c r="J76" s="43">
        <f t="shared" si="7"/>
        <v>200.26025858797433</v>
      </c>
      <c r="K76" s="43">
        <f t="shared" si="7"/>
        <v>237.50469617853412</v>
      </c>
      <c r="L76" s="43">
        <f t="shared" si="7"/>
        <v>77.400615270018619</v>
      </c>
      <c r="M76" s="43">
        <f t="shared" si="7"/>
        <v>37.439282072599994</v>
      </c>
      <c r="N76" s="7"/>
    </row>
    <row r="77" spans="1:14" x14ac:dyDescent="0.25">
      <c r="A77" s="48"/>
      <c r="B77" s="43"/>
      <c r="C77" s="43"/>
      <c r="D77" s="43"/>
      <c r="E77" s="43"/>
      <c r="F77" s="43"/>
      <c r="G77" s="43"/>
      <c r="H77" s="43"/>
      <c r="I77" s="43"/>
      <c r="J77" s="43"/>
      <c r="K77" s="43"/>
      <c r="L77" s="43"/>
      <c r="M77" s="43"/>
      <c r="N77" s="7"/>
    </row>
    <row r="78" spans="1:14" x14ac:dyDescent="0.25">
      <c r="A78" s="48" t="s">
        <v>49</v>
      </c>
      <c r="B78" s="43">
        <f t="shared" ref="B78:M78" si="8">B25*$O$6/100000</f>
        <v>12.763017308136646</v>
      </c>
      <c r="C78" s="43">
        <f t="shared" si="8"/>
        <v>0.20051156940063092</v>
      </c>
      <c r="D78" s="43">
        <f t="shared" si="8"/>
        <v>74.618285259589953</v>
      </c>
      <c r="E78" s="43">
        <f t="shared" si="8"/>
        <v>48.43655358979855</v>
      </c>
      <c r="F78" s="43">
        <f t="shared" si="8"/>
        <v>1.6740222172982884</v>
      </c>
      <c r="G78" s="43">
        <f t="shared" si="8"/>
        <v>1.4926620458519526</v>
      </c>
      <c r="H78" s="43">
        <f t="shared" si="8"/>
        <v>4.8083832179409995</v>
      </c>
      <c r="I78" s="43">
        <f t="shared" si="8"/>
        <v>0.29208489837398371</v>
      </c>
      <c r="J78" s="43">
        <f t="shared" si="8"/>
        <v>15.213950135534745</v>
      </c>
      <c r="K78" s="43">
        <f t="shared" si="8"/>
        <v>13.984939207344379</v>
      </c>
      <c r="L78" s="43">
        <f t="shared" si="8"/>
        <v>0.86752209364192601</v>
      </c>
      <c r="M78" s="43">
        <f t="shared" si="8"/>
        <v>0.67865768107432012</v>
      </c>
      <c r="N78" s="7"/>
    </row>
    <row r="80" spans="1:14" x14ac:dyDescent="0.25">
      <c r="A80" s="65" t="s">
        <v>48</v>
      </c>
      <c r="B80" s="65" t="s">
        <v>72</v>
      </c>
      <c r="C80" s="65" t="s">
        <v>73</v>
      </c>
    </row>
    <row r="81" spans="1:3" x14ac:dyDescent="0.25">
      <c r="A81" s="65" t="s">
        <v>50</v>
      </c>
      <c r="B81" s="66">
        <f>MIN($B$76:$M$76)</f>
        <v>6.0458597121451101</v>
      </c>
      <c r="C81" s="66">
        <f>MIN($C$76:$M$76)</f>
        <v>6.0458597121451101</v>
      </c>
    </row>
    <row r="82" spans="1:3" x14ac:dyDescent="0.25">
      <c r="A82" s="65" t="s">
        <v>51</v>
      </c>
      <c r="B82" s="66">
        <f>MAX($B$76:$M$76)</f>
        <v>736.02964807374349</v>
      </c>
      <c r="C82" s="66">
        <f>MAX($C$76:$M$76)</f>
        <v>736.02964807374349</v>
      </c>
    </row>
    <row r="83" spans="1:3" x14ac:dyDescent="0.25">
      <c r="A83" s="65"/>
      <c r="B83" s="65"/>
      <c r="C83" s="65"/>
    </row>
    <row r="84" spans="1:3" x14ac:dyDescent="0.25">
      <c r="A84" s="65" t="s">
        <v>49</v>
      </c>
      <c r="B84" s="65"/>
      <c r="C84" s="65"/>
    </row>
    <row r="85" spans="1:3" x14ac:dyDescent="0.25">
      <c r="A85" s="65" t="s">
        <v>50</v>
      </c>
      <c r="B85" s="66">
        <f>MIN($B$78:$M$78)</f>
        <v>0.20051156940063092</v>
      </c>
      <c r="C85" s="66">
        <f>MIN($C$78:$M$78)</f>
        <v>0.20051156940063092</v>
      </c>
    </row>
    <row r="86" spans="1:3" x14ac:dyDescent="0.25">
      <c r="A86" s="65" t="s">
        <v>51</v>
      </c>
      <c r="B86" s="66">
        <f>MAX($B$78:$M$78)</f>
        <v>74.618285259589953</v>
      </c>
      <c r="C86" s="66">
        <f>MAX($C$78:$M$78)</f>
        <v>74.618285259589953</v>
      </c>
    </row>
    <row r="87" spans="1:3" x14ac:dyDescent="0.25">
      <c r="A87" s="65"/>
      <c r="B87" s="65"/>
      <c r="C87" s="65"/>
    </row>
    <row r="88" spans="1:3" x14ac:dyDescent="0.25">
      <c r="A88" s="65" t="s">
        <v>27</v>
      </c>
      <c r="B88" s="65"/>
      <c r="C88" s="65"/>
    </row>
    <row r="89" spans="1:3" x14ac:dyDescent="0.25">
      <c r="A89" s="65" t="s">
        <v>50</v>
      </c>
      <c r="B89" s="66">
        <f>B81*$D$18</f>
        <v>3.3856814388012619</v>
      </c>
      <c r="C89" s="66">
        <f>C81*$D$18</f>
        <v>3.3856814388012619</v>
      </c>
    </row>
    <row r="90" spans="1:3" x14ac:dyDescent="0.25">
      <c r="A90" s="65" t="s">
        <v>51</v>
      </c>
      <c r="B90" s="66">
        <f>B82*$D$18</f>
        <v>412.17660292129636</v>
      </c>
      <c r="C90" s="66">
        <f>C82*$D$18</f>
        <v>412.17660292129636</v>
      </c>
    </row>
    <row r="91" spans="1:3" x14ac:dyDescent="0.25">
      <c r="A91" s="65"/>
      <c r="B91" s="66"/>
      <c r="C91" s="65"/>
    </row>
    <row r="92" spans="1:3" x14ac:dyDescent="0.25">
      <c r="A92" s="65" t="s">
        <v>62</v>
      </c>
      <c r="B92" s="66"/>
      <c r="C92" s="65"/>
    </row>
    <row r="93" spans="1:3" x14ac:dyDescent="0.25">
      <c r="A93" s="65" t="s">
        <v>50</v>
      </c>
      <c r="B93" s="66">
        <f>B81*$D$19</f>
        <v>0.60458597121451108</v>
      </c>
      <c r="C93" s="66">
        <f>C81*$D$19</f>
        <v>0.60458597121451108</v>
      </c>
    </row>
    <row r="94" spans="1:3" x14ac:dyDescent="0.25">
      <c r="A94" s="65" t="s">
        <v>51</v>
      </c>
      <c r="B94" s="66">
        <f>B82*$D$19</f>
        <v>73.602964807374349</v>
      </c>
      <c r="C94" s="66">
        <f>C82*$D$19</f>
        <v>73.602964807374349</v>
      </c>
    </row>
  </sheetData>
  <hyperlinks>
    <hyperlink ref="D17" r:id="rId1" xr:uid="{81C9C85D-1E30-4983-8363-D4971AFB9173}"/>
    <hyperlink ref="B17" r:id="rId2" xr:uid="{31D40E00-920D-4620-ABC8-EA92288C213A}"/>
    <hyperlink ref="B1" r:id="rId3" xr:uid="{648FE115-F63F-43C5-AA70-641816D4C92D}"/>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21880-3144-475A-A049-3F0E4694D670}">
  <sheetPr codeName="Sheet15"/>
  <dimension ref="A1:P94"/>
  <sheetViews>
    <sheetView workbookViewId="0">
      <selection activeCell="D9" sqref="D9"/>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2.140625" bestFit="1" customWidth="1"/>
  </cols>
  <sheetData>
    <row r="1" spans="1:16" x14ac:dyDescent="0.25">
      <c r="A1" s="26">
        <v>43909</v>
      </c>
      <c r="B1" s="11" t="s">
        <v>89</v>
      </c>
    </row>
    <row r="2" spans="1:16" x14ac:dyDescent="0.25">
      <c r="B2" t="s">
        <v>56</v>
      </c>
      <c r="C2" t="s">
        <v>43</v>
      </c>
      <c r="D2" t="s">
        <v>28</v>
      </c>
      <c r="E2" t="s">
        <v>44</v>
      </c>
      <c r="F2" t="s">
        <v>29</v>
      </c>
      <c r="G2" t="s">
        <v>39</v>
      </c>
      <c r="H2" t="s">
        <v>30</v>
      </c>
      <c r="I2" t="s">
        <v>40</v>
      </c>
      <c r="J2" t="s">
        <v>79</v>
      </c>
      <c r="K2" t="s">
        <v>109</v>
      </c>
      <c r="L2" t="s">
        <v>45</v>
      </c>
      <c r="M2" t="s">
        <v>17</v>
      </c>
      <c r="N2" t="s">
        <v>95</v>
      </c>
      <c r="O2" t="s">
        <v>16</v>
      </c>
    </row>
    <row r="3" spans="1:16" x14ac:dyDescent="0.25">
      <c r="A3" t="s">
        <v>71</v>
      </c>
      <c r="B3" s="26">
        <v>43786</v>
      </c>
      <c r="C3" s="26">
        <v>43481</v>
      </c>
      <c r="D3" s="26">
        <v>43496</v>
      </c>
      <c r="E3" s="26">
        <v>43496</v>
      </c>
      <c r="F3" s="26">
        <v>43486</v>
      </c>
      <c r="G3" s="26">
        <v>43485</v>
      </c>
      <c r="H3" s="26">
        <v>43496</v>
      </c>
      <c r="I3" s="26">
        <v>43490</v>
      </c>
      <c r="J3" s="26">
        <v>43515</v>
      </c>
      <c r="K3" s="26">
        <v>43489</v>
      </c>
      <c r="L3" s="26">
        <v>43490</v>
      </c>
      <c r="M3" s="26">
        <v>43490</v>
      </c>
      <c r="N3" s="26">
        <v>43490</v>
      </c>
      <c r="O3" s="26">
        <v>43529</v>
      </c>
    </row>
    <row r="4" spans="1:16" x14ac:dyDescent="0.25">
      <c r="A4" t="s">
        <v>70</v>
      </c>
      <c r="B4">
        <v>125</v>
      </c>
      <c r="C4">
        <v>65</v>
      </c>
      <c r="D4">
        <v>50</v>
      </c>
      <c r="E4">
        <v>50</v>
      </c>
      <c r="F4">
        <v>60</v>
      </c>
      <c r="G4">
        <v>60</v>
      </c>
      <c r="H4">
        <v>50</v>
      </c>
      <c r="I4">
        <v>56</v>
      </c>
      <c r="J4">
        <v>31</v>
      </c>
      <c r="K4">
        <v>31</v>
      </c>
      <c r="L4">
        <v>56</v>
      </c>
      <c r="M4">
        <v>56</v>
      </c>
      <c r="N4">
        <v>16</v>
      </c>
      <c r="O4">
        <v>14</v>
      </c>
    </row>
    <row r="5" spans="1:16" x14ac:dyDescent="0.25">
      <c r="A5" t="s">
        <v>33</v>
      </c>
    </row>
    <row r="6" spans="1:16" x14ac:dyDescent="0.25">
      <c r="A6" t="s">
        <v>32</v>
      </c>
      <c r="B6" s="7">
        <v>142823000</v>
      </c>
      <c r="C6" s="7">
        <v>126800000</v>
      </c>
      <c r="D6" s="7">
        <v>60480000</v>
      </c>
      <c r="E6" s="7">
        <v>46660000</v>
      </c>
      <c r="F6" s="7">
        <v>327200000</v>
      </c>
      <c r="G6" s="7">
        <v>51470000</v>
      </c>
      <c r="H6" s="7">
        <v>66440000</v>
      </c>
      <c r="I6" s="7">
        <v>24600000</v>
      </c>
      <c r="J6" s="7">
        <v>81160000</v>
      </c>
      <c r="K6" s="7">
        <v>66990000</v>
      </c>
      <c r="L6" s="7">
        <v>37590000</v>
      </c>
      <c r="M6" s="7">
        <v>14659616</v>
      </c>
      <c r="N6" s="7">
        <v>2930000</v>
      </c>
      <c r="O6" s="7">
        <v>552714.5</v>
      </c>
    </row>
    <row r="7" spans="1:16" x14ac:dyDescent="0.25">
      <c r="A7" t="s">
        <v>55</v>
      </c>
      <c r="B7" s="4">
        <v>0.11</v>
      </c>
      <c r="C7" s="4">
        <v>0.28000000000000003</v>
      </c>
      <c r="D7" s="4">
        <v>0.23</v>
      </c>
      <c r="E7" s="4">
        <v>0.19</v>
      </c>
      <c r="F7" s="4">
        <v>0.16</v>
      </c>
      <c r="G7" s="4">
        <v>0.14000000000000001</v>
      </c>
      <c r="H7" s="4">
        <v>0.18</v>
      </c>
      <c r="I7" s="4">
        <v>0.16</v>
      </c>
      <c r="J7" s="4">
        <v>6.2E-2</v>
      </c>
      <c r="K7" s="4">
        <v>0.2</v>
      </c>
      <c r="L7" s="4">
        <v>0.17</v>
      </c>
      <c r="M7" s="4">
        <v>0.17</v>
      </c>
      <c r="N7" s="4">
        <v>0.14000000000000001</v>
      </c>
      <c r="O7" s="4">
        <v>0.14000000000000001</v>
      </c>
    </row>
    <row r="9" spans="1:16" x14ac:dyDescent="0.25">
      <c r="A9" t="s">
        <v>31</v>
      </c>
      <c r="B9" s="30">
        <v>81300</v>
      </c>
      <c r="C9" s="30">
        <v>950</v>
      </c>
      <c r="D9" s="30">
        <v>41035</v>
      </c>
      <c r="E9" s="30">
        <v>17147</v>
      </c>
      <c r="F9" s="30">
        <v>10442</v>
      </c>
      <c r="G9" s="30">
        <v>8652</v>
      </c>
      <c r="H9" s="30">
        <v>3277</v>
      </c>
      <c r="I9" s="30">
        <v>709</v>
      </c>
      <c r="J9" s="30">
        <v>18407</v>
      </c>
      <c r="K9" s="30">
        <v>10877</v>
      </c>
      <c r="L9" s="30">
        <v>1048</v>
      </c>
      <c r="M9" s="30">
        <v>311</v>
      </c>
      <c r="N9" s="30">
        <v>161</v>
      </c>
      <c r="O9" s="30">
        <v>15</v>
      </c>
      <c r="P9" s="1"/>
    </row>
    <row r="10" spans="1:16" x14ac:dyDescent="0.25">
      <c r="A10" t="s">
        <v>34</v>
      </c>
      <c r="B10" s="30"/>
      <c r="C10" s="30"/>
      <c r="D10" s="30"/>
      <c r="E10" s="30"/>
      <c r="F10" s="30"/>
      <c r="G10" s="30"/>
      <c r="H10" s="30"/>
      <c r="I10" s="30"/>
      <c r="J10" s="30"/>
      <c r="K10" s="30"/>
      <c r="L10" s="30"/>
      <c r="M10" s="30"/>
      <c r="N10" s="30"/>
      <c r="O10" s="30"/>
    </row>
    <row r="11" spans="1:16" x14ac:dyDescent="0.25">
      <c r="A11" t="s">
        <v>35</v>
      </c>
      <c r="B11" s="30">
        <v>3253</v>
      </c>
      <c r="C11" s="30">
        <v>33</v>
      </c>
      <c r="D11" s="30">
        <v>3207</v>
      </c>
      <c r="E11" s="30">
        <v>767</v>
      </c>
      <c r="F11" s="30">
        <v>150</v>
      </c>
      <c r="G11" s="30">
        <v>94</v>
      </c>
      <c r="H11" s="30">
        <v>144</v>
      </c>
      <c r="I11" s="30">
        <v>6</v>
      </c>
      <c r="J11" s="30">
        <v>1284</v>
      </c>
      <c r="K11" s="30">
        <v>372</v>
      </c>
      <c r="L11" s="30">
        <v>13</v>
      </c>
      <c r="M11" s="30">
        <v>2</v>
      </c>
      <c r="N11" s="30">
        <v>2</v>
      </c>
      <c r="O11" s="30">
        <v>0</v>
      </c>
    </row>
    <row r="13" spans="1:16" x14ac:dyDescent="0.25">
      <c r="A13" t="s">
        <v>36</v>
      </c>
    </row>
    <row r="14" spans="1:16" x14ac:dyDescent="0.25">
      <c r="A14" t="s">
        <v>34</v>
      </c>
    </row>
    <row r="15" spans="1:16" x14ac:dyDescent="0.25">
      <c r="A15" t="s">
        <v>35</v>
      </c>
      <c r="B15" s="1">
        <f>B11/B9</f>
        <v>4.0012300123001228E-2</v>
      </c>
      <c r="C15" s="1">
        <f t="shared" ref="C15:O15" si="0">C11/C9</f>
        <v>3.4736842105263156E-2</v>
      </c>
      <c r="D15" s="1">
        <f t="shared" si="0"/>
        <v>7.8152796393322774E-2</v>
      </c>
      <c r="E15" s="1">
        <f t="shared" si="0"/>
        <v>4.4730856709628508E-2</v>
      </c>
      <c r="F15" s="1">
        <f t="shared" si="0"/>
        <v>1.4365064163953266E-2</v>
      </c>
      <c r="G15" s="1">
        <f t="shared" si="0"/>
        <v>1.0864539990753583E-2</v>
      </c>
      <c r="H15" s="1">
        <f t="shared" si="0"/>
        <v>4.3942630454684162E-2</v>
      </c>
      <c r="I15" s="1">
        <f t="shared" si="0"/>
        <v>8.4626234132581107E-3</v>
      </c>
      <c r="J15" s="1">
        <f t="shared" si="0"/>
        <v>6.9756071059922861E-2</v>
      </c>
      <c r="K15" s="1">
        <f t="shared" si="0"/>
        <v>3.4200606784959085E-2</v>
      </c>
      <c r="L15" s="1">
        <f t="shared" si="0"/>
        <v>1.2404580152671756E-2</v>
      </c>
      <c r="M15" s="1">
        <f t="shared" si="0"/>
        <v>6.4308681672025723E-3</v>
      </c>
      <c r="N15" s="1">
        <f t="shared" si="0"/>
        <v>1.2422360248447204E-2</v>
      </c>
      <c r="O15" s="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t="s">
        <v>58</v>
      </c>
      <c r="B18" s="1">
        <v>0.15</v>
      </c>
      <c r="C18" s="1"/>
      <c r="D18" s="1">
        <v>0.56000000000000005</v>
      </c>
      <c r="E18" s="1"/>
      <c r="F18" s="1"/>
      <c r="G18" s="1"/>
      <c r="H18" s="1"/>
      <c r="I18" s="1"/>
      <c r="J18" s="1"/>
      <c r="K18" s="1"/>
      <c r="L18" s="1">
        <v>0.13</v>
      </c>
      <c r="M18" s="1"/>
      <c r="N18" s="1">
        <v>0.06</v>
      </c>
    </row>
    <row r="19" spans="1:15" x14ac:dyDescent="0.25">
      <c r="A19" t="s">
        <v>59</v>
      </c>
      <c r="B19" s="1">
        <v>0.05</v>
      </c>
      <c r="C19" s="1"/>
      <c r="D19" s="1">
        <v>0.1</v>
      </c>
      <c r="E19" s="1"/>
      <c r="F19" s="1"/>
      <c r="G19" s="1"/>
      <c r="H19" s="1"/>
      <c r="I19" s="1"/>
      <c r="J19" s="1"/>
      <c r="K19" s="1"/>
      <c r="L19" s="1"/>
      <c r="M19" s="1"/>
      <c r="N19" s="1">
        <v>0.04</v>
      </c>
    </row>
    <row r="20" spans="1:15" x14ac:dyDescent="0.25">
      <c r="B20" s="1"/>
      <c r="C20" s="1"/>
      <c r="D20" s="1"/>
      <c r="E20" s="1"/>
      <c r="F20" s="1"/>
      <c r="G20" s="1"/>
      <c r="H20" s="1"/>
      <c r="I20" s="1"/>
      <c r="J20" s="1"/>
      <c r="K20" s="1"/>
      <c r="L20" s="1"/>
      <c r="M20" s="1"/>
      <c r="N20" s="1"/>
    </row>
    <row r="22" spans="1:15" x14ac:dyDescent="0.25">
      <c r="A22" t="s">
        <v>42</v>
      </c>
    </row>
    <row r="23" spans="1:15" x14ac:dyDescent="0.25">
      <c r="A23" t="s">
        <v>41</v>
      </c>
      <c r="B23" s="7">
        <f t="shared" ref="B23:N23" si="1">B9/B6*100000</f>
        <v>56.923604741533225</v>
      </c>
      <c r="C23" s="7">
        <f t="shared" si="1"/>
        <v>0.74921135646687698</v>
      </c>
      <c r="D23" s="7">
        <f t="shared" si="1"/>
        <v>67.848875661375672</v>
      </c>
      <c r="E23" s="7">
        <f t="shared" si="1"/>
        <v>36.74882126018003</v>
      </c>
      <c r="F23" s="7">
        <f t="shared" si="1"/>
        <v>3.1913202933985327</v>
      </c>
      <c r="G23" s="7">
        <f t="shared" si="1"/>
        <v>16.80979211190985</v>
      </c>
      <c r="H23" s="7">
        <f t="shared" si="1"/>
        <v>4.9322697170379284</v>
      </c>
      <c r="I23" s="7">
        <f t="shared" si="1"/>
        <v>2.8821138211382116</v>
      </c>
      <c r="J23" s="7">
        <f t="shared" si="1"/>
        <v>22.679891572203054</v>
      </c>
      <c r="K23" s="7">
        <f t="shared" si="1"/>
        <v>16.236751753993133</v>
      </c>
      <c r="L23" s="7">
        <f t="shared" si="1"/>
        <v>2.787975525405693</v>
      </c>
      <c r="M23" s="7">
        <f t="shared" si="1"/>
        <v>2.1214743960551217</v>
      </c>
      <c r="N23" s="7">
        <f t="shared" si="1"/>
        <v>5.4948805460750858</v>
      </c>
      <c r="O23" s="8">
        <f>D23*$O$6/100000</f>
        <v>375.01057386739427</v>
      </c>
    </row>
    <row r="24" spans="1:15" x14ac:dyDescent="0.25">
      <c r="A24" t="s">
        <v>34</v>
      </c>
      <c r="O24" s="27">
        <f>O23*D18</f>
        <v>210.00592136574082</v>
      </c>
    </row>
    <row r="25" spans="1:15" x14ac:dyDescent="0.25">
      <c r="A25" t="s">
        <v>35</v>
      </c>
      <c r="B25" s="7">
        <f>B11/B6*100000</f>
        <v>2.2776443570013232</v>
      </c>
      <c r="C25" s="7">
        <f t="shared" ref="C25:N25" si="2">C11/C6*100000</f>
        <v>2.6025236593059938E-2</v>
      </c>
      <c r="D25" s="7">
        <f t="shared" si="2"/>
        <v>5.3025793650793656</v>
      </c>
      <c r="E25" s="7">
        <f t="shared" si="2"/>
        <v>1.6438062580368626</v>
      </c>
      <c r="F25" s="7">
        <f t="shared" si="2"/>
        <v>4.5843520782396091E-2</v>
      </c>
      <c r="G25" s="7">
        <f t="shared" si="2"/>
        <v>0.1826306586360987</v>
      </c>
      <c r="H25" s="7">
        <f t="shared" si="2"/>
        <v>0.21673690547862731</v>
      </c>
      <c r="I25" s="7">
        <f t="shared" si="2"/>
        <v>2.4390243902439022E-2</v>
      </c>
      <c r="J25" s="7">
        <f t="shared" si="2"/>
        <v>1.5820601281419417</v>
      </c>
      <c r="K25" s="7">
        <f t="shared" si="2"/>
        <v>0.55530676220331388</v>
      </c>
      <c r="L25" s="7">
        <f t="shared" si="2"/>
        <v>3.4583665868582067E-2</v>
      </c>
      <c r="M25" s="7">
        <f t="shared" si="2"/>
        <v>1.3642922161126185E-2</v>
      </c>
      <c r="N25" s="7">
        <f t="shared" si="2"/>
        <v>6.8259385665529013E-2</v>
      </c>
      <c r="O25" s="8">
        <f>D25*$O$6/100000</f>
        <v>29.308125024801591</v>
      </c>
    </row>
    <row r="26" spans="1:15" x14ac:dyDescent="0.25">
      <c r="N26" s="1"/>
      <c r="O26" s="27">
        <f>O23*D19</f>
        <v>37.501057386739426</v>
      </c>
    </row>
    <row r="28" spans="1:15" x14ac:dyDescent="0.25">
      <c r="A28" s="10" t="s">
        <v>74</v>
      </c>
    </row>
    <row r="31" spans="1:15" x14ac:dyDescent="0.25">
      <c r="A31" t="s">
        <v>48</v>
      </c>
      <c r="B31" s="7">
        <f>B23*$L$6/100000</f>
        <v>21397.58302234234</v>
      </c>
      <c r="C31" s="7">
        <f t="shared" ref="C31:N31" si="3">C23*$L$6/100000</f>
        <v>281.62854889589903</v>
      </c>
      <c r="D31" s="7">
        <f t="shared" si="3"/>
        <v>25504.392361111117</v>
      </c>
      <c r="E31" s="7">
        <f t="shared" si="3"/>
        <v>13813.881911701672</v>
      </c>
      <c r="F31" s="7">
        <f t="shared" si="3"/>
        <v>1199.6172982885084</v>
      </c>
      <c r="G31" s="7">
        <f t="shared" si="3"/>
        <v>6318.8008548669122</v>
      </c>
      <c r="H31" s="7">
        <f t="shared" si="3"/>
        <v>1854.0401866345574</v>
      </c>
      <c r="I31" s="7">
        <f t="shared" si="3"/>
        <v>1083.3865853658538</v>
      </c>
      <c r="J31" s="7">
        <f t="shared" si="3"/>
        <v>8525.371241991128</v>
      </c>
      <c r="K31" s="7"/>
      <c r="L31" s="7">
        <f t="shared" si="3"/>
        <v>1048</v>
      </c>
      <c r="M31" s="7">
        <f t="shared" si="3"/>
        <v>797.46222547712023</v>
      </c>
      <c r="N31" s="7">
        <f t="shared" si="3"/>
        <v>2065.525597269625</v>
      </c>
    </row>
    <row r="32" spans="1:15" x14ac:dyDescent="0.25">
      <c r="B32" s="7"/>
      <c r="C32" s="7"/>
      <c r="D32" s="7"/>
      <c r="E32" s="7"/>
      <c r="F32" s="7"/>
      <c r="G32" s="7"/>
      <c r="H32" s="7"/>
      <c r="I32" s="7"/>
      <c r="J32" s="7"/>
      <c r="K32" s="7"/>
      <c r="L32" s="7"/>
      <c r="M32" s="7"/>
      <c r="N32" s="7"/>
    </row>
    <row r="33" spans="1:14" x14ac:dyDescent="0.25">
      <c r="A33" t="s">
        <v>49</v>
      </c>
      <c r="B33" s="7">
        <f>B25*$L$6/100000</f>
        <v>856.1665137967974</v>
      </c>
      <c r="C33" s="7">
        <f t="shared" ref="C33:N33" si="4">C25*$L$6/100000</f>
        <v>9.7828864353312301</v>
      </c>
      <c r="D33" s="7">
        <f t="shared" si="4"/>
        <v>1993.2395833333335</v>
      </c>
      <c r="E33" s="7">
        <f t="shared" si="4"/>
        <v>617.90677239605668</v>
      </c>
      <c r="F33" s="7">
        <f t="shared" si="4"/>
        <v>17.232579462102692</v>
      </c>
      <c r="G33" s="7">
        <f t="shared" si="4"/>
        <v>68.650864581309506</v>
      </c>
      <c r="H33" s="7">
        <f t="shared" si="4"/>
        <v>81.471402769416002</v>
      </c>
      <c r="I33" s="7">
        <f t="shared" si="4"/>
        <v>9.168292682926829</v>
      </c>
      <c r="J33" s="7">
        <f t="shared" si="4"/>
        <v>594.69640216855589</v>
      </c>
      <c r="K33" s="7"/>
      <c r="L33" s="7">
        <f t="shared" si="4"/>
        <v>13</v>
      </c>
      <c r="M33" s="7">
        <f t="shared" si="4"/>
        <v>5.1283744403673328</v>
      </c>
      <c r="N33" s="7">
        <f t="shared" si="4"/>
        <v>25.658703071672356</v>
      </c>
    </row>
    <row r="35" spans="1:14" x14ac:dyDescent="0.25">
      <c r="A35" t="s">
        <v>48</v>
      </c>
      <c r="B35" t="s">
        <v>75</v>
      </c>
    </row>
    <row r="36" spans="1:14" x14ac:dyDescent="0.25">
      <c r="A36" t="s">
        <v>50</v>
      </c>
      <c r="B36" s="7">
        <f>MIN($B$31:$M$31)</f>
        <v>281.62854889589903</v>
      </c>
      <c r="C36" s="7"/>
    </row>
    <row r="37" spans="1:14" x14ac:dyDescent="0.25">
      <c r="A37" t="s">
        <v>51</v>
      </c>
      <c r="B37" s="7">
        <f>MAX(B31:M31)</f>
        <v>25504.392361111117</v>
      </c>
      <c r="C37">
        <f>B37*1.6%</f>
        <v>408.0702777777779</v>
      </c>
      <c r="D37" t="s">
        <v>78</v>
      </c>
    </row>
    <row r="39" spans="1:14" x14ac:dyDescent="0.25">
      <c r="A39" t="s">
        <v>49</v>
      </c>
    </row>
    <row r="40" spans="1:14" x14ac:dyDescent="0.25">
      <c r="A40" t="s">
        <v>50</v>
      </c>
      <c r="B40" s="7">
        <f>MIN(B33:M33)</f>
        <v>5.1283744403673328</v>
      </c>
    </row>
    <row r="41" spans="1:14" x14ac:dyDescent="0.25">
      <c r="A41" t="s">
        <v>51</v>
      </c>
      <c r="B41" s="7">
        <f>MAX($B$33:$M$33)</f>
        <v>1993.2395833333335</v>
      </c>
      <c r="C41">
        <f>B41*1.6%</f>
        <v>31.891833333333338</v>
      </c>
      <c r="D41" t="s">
        <v>78</v>
      </c>
    </row>
    <row r="42" spans="1:14" x14ac:dyDescent="0.25">
      <c r="B42" s="7"/>
    </row>
    <row r="43" spans="1:14" x14ac:dyDescent="0.25">
      <c r="A43" t="s">
        <v>63</v>
      </c>
      <c r="B43" s="7" t="s">
        <v>65</v>
      </c>
      <c r="C43" t="s">
        <v>66</v>
      </c>
    </row>
    <row r="44" spans="1:14" x14ac:dyDescent="0.25">
      <c r="A44" t="s">
        <v>50</v>
      </c>
      <c r="B44" s="7">
        <f>B18*L9</f>
        <v>157.19999999999999</v>
      </c>
      <c r="C44" s="7">
        <f>B36*B18</f>
        <v>42.244282334384856</v>
      </c>
    </row>
    <row r="45" spans="1:14" x14ac:dyDescent="0.25">
      <c r="A45" t="s">
        <v>51</v>
      </c>
      <c r="B45" s="7">
        <f>L9*D18</f>
        <v>586.88000000000011</v>
      </c>
      <c r="C45" s="7">
        <f>B37*D18</f>
        <v>14282.459722222227</v>
      </c>
      <c r="D45">
        <f>C45*1.6%</f>
        <v>228.51935555555565</v>
      </c>
      <c r="E45" t="s">
        <v>78</v>
      </c>
    </row>
    <row r="46" spans="1:14" x14ac:dyDescent="0.25">
      <c r="B46" s="7"/>
    </row>
    <row r="47" spans="1:14" x14ac:dyDescent="0.25">
      <c r="A47" t="s">
        <v>64</v>
      </c>
      <c r="B47" s="7" t="s">
        <v>77</v>
      </c>
      <c r="C47" t="s">
        <v>76</v>
      </c>
    </row>
    <row r="48" spans="1:14" x14ac:dyDescent="0.25">
      <c r="A48" t="s">
        <v>50</v>
      </c>
      <c r="B48" s="7"/>
    </row>
    <row r="49" spans="1:14" x14ac:dyDescent="0.25">
      <c r="A49" t="s">
        <v>51</v>
      </c>
      <c r="B49" s="7">
        <f>L9*D19</f>
        <v>104.80000000000001</v>
      </c>
      <c r="C49" s="7">
        <f>B37*D19</f>
        <v>2550.4392361111118</v>
      </c>
      <c r="D49">
        <f>C49*1.6%</f>
        <v>40.80702777777779</v>
      </c>
      <c r="E49" t="s">
        <v>78</v>
      </c>
    </row>
    <row r="52" spans="1:14" x14ac:dyDescent="0.25">
      <c r="A52" s="10" t="s">
        <v>47</v>
      </c>
    </row>
    <row r="54" spans="1:14" x14ac:dyDescent="0.25">
      <c r="A54" t="s">
        <v>48</v>
      </c>
      <c r="B54" s="7">
        <f>B23*$M$6/100000</f>
        <v>8344.7818684665635</v>
      </c>
      <c r="C54" s="7">
        <f t="shared" ref="C54:M54" si="5">C23*$M$6/100000</f>
        <v>109.83150788643533</v>
      </c>
      <c r="D54" s="7">
        <f t="shared" si="5"/>
        <v>9946.3846322751342</v>
      </c>
      <c r="E54" s="7">
        <f t="shared" si="5"/>
        <v>5387.236081268753</v>
      </c>
      <c r="F54" s="7">
        <f t="shared" si="5"/>
        <v>467.83530034229824</v>
      </c>
      <c r="G54" s="7">
        <f t="shared" si="5"/>
        <v>2464.2509740042742</v>
      </c>
      <c r="H54" s="7">
        <f t="shared" si="5"/>
        <v>723.0518006020468</v>
      </c>
      <c r="I54" s="7">
        <f t="shared" si="5"/>
        <v>422.50681886178864</v>
      </c>
      <c r="J54" s="7">
        <f t="shared" si="5"/>
        <v>3324.7850137013306</v>
      </c>
      <c r="K54" s="7">
        <f t="shared" si="5"/>
        <v>2380.2454580086578</v>
      </c>
      <c r="L54" s="7">
        <f t="shared" si="5"/>
        <v>408.70650619845702</v>
      </c>
      <c r="M54" s="7">
        <f t="shared" si="5"/>
        <v>311</v>
      </c>
      <c r="N54" s="7"/>
    </row>
    <row r="55" spans="1:14" x14ac:dyDescent="0.25">
      <c r="B55" s="7"/>
      <c r="C55" s="7"/>
      <c r="D55" s="7"/>
      <c r="E55" s="7"/>
      <c r="F55" s="7"/>
      <c r="G55" s="7"/>
      <c r="H55" s="7"/>
      <c r="I55" s="7"/>
      <c r="J55" s="7"/>
      <c r="K55" s="7"/>
      <c r="L55" s="7"/>
      <c r="M55" s="7"/>
      <c r="N55" s="7"/>
    </row>
    <row r="56" spans="1:14" x14ac:dyDescent="0.25">
      <c r="A56" t="s">
        <v>49</v>
      </c>
      <c r="B56" s="7">
        <f t="shared" ref="B56:M56" si="6">B25*$M$6/100000</f>
        <v>333.89391658206313</v>
      </c>
      <c r="C56" s="7">
        <f t="shared" si="6"/>
        <v>3.8151997476340695</v>
      </c>
      <c r="D56" s="7">
        <f t="shared" si="6"/>
        <v>777.33777301587315</v>
      </c>
      <c r="E56" s="7">
        <f t="shared" si="6"/>
        <v>240.9756852121732</v>
      </c>
      <c r="F56" s="7">
        <f t="shared" si="6"/>
        <v>6.7204841075794617</v>
      </c>
      <c r="G56" s="7">
        <f t="shared" si="6"/>
        <v>26.772953254322907</v>
      </c>
      <c r="H56" s="7">
        <f t="shared" si="6"/>
        <v>31.772798073449728</v>
      </c>
      <c r="I56" s="7">
        <f t="shared" si="6"/>
        <v>3.5755160975609757</v>
      </c>
      <c r="J56" s="7">
        <f t="shared" si="6"/>
        <v>231.92393967471659</v>
      </c>
      <c r="K56" s="7">
        <f t="shared" si="6"/>
        <v>81.405838961038953</v>
      </c>
      <c r="L56" s="7">
        <f t="shared" si="6"/>
        <v>5.0698326150571953</v>
      </c>
      <c r="M56" s="7">
        <f t="shared" si="6"/>
        <v>2</v>
      </c>
      <c r="N56" s="7"/>
    </row>
    <row r="58" spans="1:14" x14ac:dyDescent="0.25">
      <c r="A58" t="s">
        <v>48</v>
      </c>
    </row>
    <row r="59" spans="1:14" x14ac:dyDescent="0.25">
      <c r="A59" t="s">
        <v>50</v>
      </c>
      <c r="B59" s="7">
        <f>MIN($B$54:$M$54)</f>
        <v>109.83150788643533</v>
      </c>
    </row>
    <row r="60" spans="1:14" x14ac:dyDescent="0.25">
      <c r="A60" t="s">
        <v>51</v>
      </c>
      <c r="B60" s="7">
        <f>MAX($B$54:$M$54)</f>
        <v>9946.3846322751342</v>
      </c>
    </row>
    <row r="62" spans="1:14" x14ac:dyDescent="0.25">
      <c r="A62" t="s">
        <v>49</v>
      </c>
    </row>
    <row r="63" spans="1:14" x14ac:dyDescent="0.25">
      <c r="A63" t="s">
        <v>50</v>
      </c>
      <c r="B63" s="7">
        <f>MIN($B$56:$M$56)</f>
        <v>2</v>
      </c>
    </row>
    <row r="64" spans="1:14" x14ac:dyDescent="0.25">
      <c r="A64" t="s">
        <v>51</v>
      </c>
      <c r="B64" s="7">
        <f>MAX($B$56:$M$56)</f>
        <v>777.33777301587315</v>
      </c>
    </row>
    <row r="65" spans="1:14" x14ac:dyDescent="0.25">
      <c r="B65" s="7"/>
    </row>
    <row r="66" spans="1:14" x14ac:dyDescent="0.25">
      <c r="A66" t="s">
        <v>63</v>
      </c>
      <c r="B66" s="7" t="s">
        <v>77</v>
      </c>
      <c r="C66" t="s">
        <v>76</v>
      </c>
    </row>
    <row r="67" spans="1:14" x14ac:dyDescent="0.25">
      <c r="A67" t="s">
        <v>50</v>
      </c>
      <c r="B67" s="7">
        <f>B18*M9</f>
        <v>46.65</v>
      </c>
    </row>
    <row r="68" spans="1:14" x14ac:dyDescent="0.25">
      <c r="A68" t="s">
        <v>51</v>
      </c>
      <c r="B68" s="7">
        <f>D18*M9</f>
        <v>174.16000000000003</v>
      </c>
      <c r="C68" s="7">
        <f>B60*D18</f>
        <v>5569.9753940740757</v>
      </c>
    </row>
    <row r="69" spans="1:14" x14ac:dyDescent="0.25">
      <c r="B69" s="7"/>
    </row>
    <row r="70" spans="1:14" x14ac:dyDescent="0.25">
      <c r="A70" t="s">
        <v>64</v>
      </c>
      <c r="B70" s="7" t="s">
        <v>77</v>
      </c>
      <c r="C70" t="s">
        <v>76</v>
      </c>
    </row>
    <row r="71" spans="1:14" x14ac:dyDescent="0.25">
      <c r="A71" t="s">
        <v>50</v>
      </c>
      <c r="B71" s="7">
        <f>B19*M9</f>
        <v>15.55</v>
      </c>
    </row>
    <row r="72" spans="1:14" x14ac:dyDescent="0.25">
      <c r="A72" t="s">
        <v>51</v>
      </c>
      <c r="B72">
        <f>D19*M9</f>
        <v>31.1</v>
      </c>
      <c r="C72" s="7">
        <f>B60*D19</f>
        <v>994.63846322751351</v>
      </c>
    </row>
    <row r="74" spans="1:14" x14ac:dyDescent="0.25">
      <c r="A74" s="10" t="s">
        <v>52</v>
      </c>
    </row>
    <row r="76" spans="1:14" x14ac:dyDescent="0.25">
      <c r="A76" t="s">
        <v>48</v>
      </c>
      <c r="B76" s="7">
        <f>B23*$O$6/100000</f>
        <v>314.62501732914166</v>
      </c>
      <c r="C76" s="7">
        <f t="shared" ref="C76:M78" si="7">C23*$O$6/100000</f>
        <v>4.1409998028391168</v>
      </c>
      <c r="D76" s="7">
        <f t="shared" si="7"/>
        <v>375.01057386739427</v>
      </c>
      <c r="E76" s="7">
        <f t="shared" si="7"/>
        <v>203.11606368409775</v>
      </c>
      <c r="F76" s="7">
        <f t="shared" si="7"/>
        <v>17.638890003056233</v>
      </c>
      <c r="G76" s="7">
        <f t="shared" si="7"/>
        <v>92.910158422381969</v>
      </c>
      <c r="H76" s="7">
        <f t="shared" si="7"/>
        <v>27.261369905177602</v>
      </c>
      <c r="I76" s="7">
        <f t="shared" si="7"/>
        <v>15.929860995934959</v>
      </c>
      <c r="J76" s="7">
        <f t="shared" si="7"/>
        <v>125.35504930384425</v>
      </c>
      <c r="K76" s="7">
        <f t="shared" si="7"/>
        <v>89.742881273324372</v>
      </c>
      <c r="L76" s="7">
        <f t="shared" si="7"/>
        <v>15.40954498536845</v>
      </c>
      <c r="M76" s="7">
        <f t="shared" si="7"/>
        <v>11.725696600784087</v>
      </c>
      <c r="N76" s="7"/>
    </row>
    <row r="77" spans="1:14" x14ac:dyDescent="0.25">
      <c r="B77" s="7"/>
      <c r="C77" s="7"/>
      <c r="D77" s="7"/>
      <c r="E77" s="7"/>
      <c r="F77" s="7"/>
      <c r="G77" s="7"/>
      <c r="H77" s="7"/>
      <c r="I77" s="7"/>
      <c r="J77" s="7"/>
      <c r="K77" s="7"/>
      <c r="L77" s="7"/>
      <c r="M77" s="7"/>
      <c r="N77" s="7"/>
    </row>
    <row r="78" spans="1:14" x14ac:dyDescent="0.25">
      <c r="A78" t="s">
        <v>49</v>
      </c>
      <c r="B78" s="7">
        <f>B25*$O$6/100000</f>
        <v>12.588870619578078</v>
      </c>
      <c r="C78" s="7">
        <f t="shared" si="7"/>
        <v>0.14384525630914827</v>
      </c>
      <c r="D78" s="7">
        <f t="shared" si="7"/>
        <v>29.308125024801591</v>
      </c>
      <c r="E78" s="7">
        <f t="shared" si="7"/>
        <v>9.0855555400771557</v>
      </c>
      <c r="F78" s="7">
        <f t="shared" si="7"/>
        <v>0.25338378667481665</v>
      </c>
      <c r="G78" s="7">
        <f t="shared" si="7"/>
        <v>1.0094261317272197</v>
      </c>
      <c r="H78" s="7">
        <f t="shared" si="7"/>
        <v>1.1979363034316677</v>
      </c>
      <c r="I78" s="7">
        <f t="shared" si="7"/>
        <v>0.13480841463414631</v>
      </c>
      <c r="J78" s="7">
        <f t="shared" si="7"/>
        <v>8.7442757269590938</v>
      </c>
      <c r="K78" s="7">
        <f t="shared" si="7"/>
        <v>3.0692609941782356</v>
      </c>
      <c r="L78" s="7">
        <f t="shared" si="7"/>
        <v>0.19114893588720402</v>
      </c>
      <c r="M78" s="7">
        <f t="shared" si="7"/>
        <v>7.5406409008257791E-2</v>
      </c>
      <c r="N78" s="7"/>
    </row>
    <row r="80" spans="1:14" x14ac:dyDescent="0.25">
      <c r="A80" t="s">
        <v>48</v>
      </c>
      <c r="B80" t="s">
        <v>72</v>
      </c>
      <c r="C80" t="s">
        <v>73</v>
      </c>
    </row>
    <row r="81" spans="1:3" x14ac:dyDescent="0.25">
      <c r="A81" t="s">
        <v>50</v>
      </c>
      <c r="B81" s="7">
        <f>MIN($B$76:$M$76)</f>
        <v>4.1409998028391168</v>
      </c>
      <c r="C81" s="7">
        <f>MIN($C$76:$M$76)</f>
        <v>4.1409998028391168</v>
      </c>
    </row>
    <row r="82" spans="1:3" x14ac:dyDescent="0.25">
      <c r="A82" t="s">
        <v>51</v>
      </c>
      <c r="B82" s="7">
        <f>MAX($B$76:$M$76)</f>
        <v>375.01057386739427</v>
      </c>
      <c r="C82" s="7">
        <f>MAX($C$76:$M$76)</f>
        <v>375.01057386739427</v>
      </c>
    </row>
    <row r="84" spans="1:3" x14ac:dyDescent="0.25">
      <c r="A84" t="s">
        <v>49</v>
      </c>
    </row>
    <row r="85" spans="1:3" x14ac:dyDescent="0.25">
      <c r="A85" t="s">
        <v>50</v>
      </c>
      <c r="B85" s="7">
        <f>MIN($B$78:$M$78)</f>
        <v>7.5406409008257791E-2</v>
      </c>
      <c r="C85" s="7">
        <f>MIN($C$78:$M$78)</f>
        <v>7.5406409008257791E-2</v>
      </c>
    </row>
    <row r="86" spans="1:3" x14ac:dyDescent="0.25">
      <c r="A86" t="s">
        <v>51</v>
      </c>
      <c r="B86" s="7">
        <f>MAX($B$78:$M$78)</f>
        <v>29.308125024801591</v>
      </c>
      <c r="C86" s="7">
        <f>MAX($C$78:$M$78)</f>
        <v>29.308125024801591</v>
      </c>
    </row>
    <row r="88" spans="1:3" x14ac:dyDescent="0.25">
      <c r="A88" t="s">
        <v>27</v>
      </c>
    </row>
    <row r="89" spans="1:3" x14ac:dyDescent="0.25">
      <c r="A89" t="s">
        <v>50</v>
      </c>
    </row>
    <row r="90" spans="1:3" x14ac:dyDescent="0.25">
      <c r="A90" t="s">
        <v>51</v>
      </c>
      <c r="B90" s="7">
        <f>B82*$D$18</f>
        <v>210.00592136574082</v>
      </c>
      <c r="C90" s="7">
        <f>C82*$D$18</f>
        <v>210.00592136574082</v>
      </c>
    </row>
    <row r="91" spans="1:3" x14ac:dyDescent="0.25">
      <c r="B91" s="7"/>
    </row>
    <row r="92" spans="1:3" x14ac:dyDescent="0.25">
      <c r="A92" t="s">
        <v>62</v>
      </c>
      <c r="B92" s="7"/>
    </row>
    <row r="93" spans="1:3" x14ac:dyDescent="0.25">
      <c r="A93" t="s">
        <v>50</v>
      </c>
      <c r="B93" s="7"/>
    </row>
    <row r="94" spans="1:3" x14ac:dyDescent="0.25">
      <c r="A94" t="s">
        <v>51</v>
      </c>
      <c r="B94" s="7">
        <f>B82*$D$19</f>
        <v>37.501057386739426</v>
      </c>
      <c r="C94" s="7">
        <f>C82*$D$19</f>
        <v>37.501057386739426</v>
      </c>
    </row>
  </sheetData>
  <hyperlinks>
    <hyperlink ref="D17" r:id="rId1" xr:uid="{A72891D9-1B24-46DE-AB65-D1639093853F}"/>
    <hyperlink ref="B17" r:id="rId2" xr:uid="{AFC63D9C-520B-43E4-9A4B-E9523EDB3B17}"/>
    <hyperlink ref="B1" r:id="rId3" xr:uid="{E9D13D08-7650-4AD3-B51B-4E37FA690F28}"/>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256C-2841-451C-9B68-469436BA94A1}">
  <sheetPr codeName="Sheet16"/>
  <dimension ref="A1:P94"/>
  <sheetViews>
    <sheetView topLeftCell="A6" workbookViewId="0">
      <selection activeCell="A26" sqref="A26"/>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2.140625" bestFit="1" customWidth="1"/>
  </cols>
  <sheetData>
    <row r="1" spans="1:16" x14ac:dyDescent="0.25">
      <c r="A1" s="26">
        <v>43909</v>
      </c>
      <c r="B1" s="11" t="s">
        <v>89</v>
      </c>
    </row>
    <row r="2" spans="1:16" x14ac:dyDescent="0.25">
      <c r="B2" t="s">
        <v>56</v>
      </c>
      <c r="C2" t="s">
        <v>43</v>
      </c>
      <c r="D2" t="s">
        <v>28</v>
      </c>
      <c r="E2" t="s">
        <v>44</v>
      </c>
      <c r="F2" t="s">
        <v>29</v>
      </c>
      <c r="G2" t="s">
        <v>39</v>
      </c>
      <c r="H2" t="s">
        <v>30</v>
      </c>
      <c r="I2" t="s">
        <v>40</v>
      </c>
      <c r="J2" t="s">
        <v>79</v>
      </c>
      <c r="K2" t="s">
        <v>109</v>
      </c>
      <c r="L2" t="s">
        <v>45</v>
      </c>
      <c r="M2" t="s">
        <v>17</v>
      </c>
      <c r="N2" t="s">
        <v>95</v>
      </c>
      <c r="O2" t="s">
        <v>16</v>
      </c>
    </row>
    <row r="3" spans="1:16" x14ac:dyDescent="0.25">
      <c r="A3" t="s">
        <v>71</v>
      </c>
      <c r="B3" s="26">
        <v>43786</v>
      </c>
      <c r="C3" s="26">
        <v>43481</v>
      </c>
      <c r="D3" s="26">
        <v>43496</v>
      </c>
      <c r="E3" s="26">
        <v>43496</v>
      </c>
      <c r="F3" s="26">
        <v>43486</v>
      </c>
      <c r="G3" s="26">
        <v>43485</v>
      </c>
      <c r="H3" s="26">
        <v>43496</v>
      </c>
      <c r="I3" s="26">
        <v>43490</v>
      </c>
      <c r="J3" s="26">
        <v>43515</v>
      </c>
      <c r="K3" s="26">
        <v>43489</v>
      </c>
      <c r="L3" s="26">
        <v>43490</v>
      </c>
      <c r="M3" s="26">
        <v>43490</v>
      </c>
      <c r="N3" s="26">
        <v>43490</v>
      </c>
      <c r="O3" s="26">
        <v>43529</v>
      </c>
    </row>
    <row r="4" spans="1:16" x14ac:dyDescent="0.25">
      <c r="A4" t="s">
        <v>70</v>
      </c>
      <c r="B4">
        <v>124</v>
      </c>
      <c r="C4">
        <v>64</v>
      </c>
      <c r="D4">
        <v>49</v>
      </c>
      <c r="E4">
        <v>49</v>
      </c>
      <c r="F4">
        <v>59</v>
      </c>
      <c r="G4">
        <v>59</v>
      </c>
      <c r="H4">
        <v>49</v>
      </c>
      <c r="I4">
        <v>55</v>
      </c>
      <c r="J4">
        <v>30</v>
      </c>
      <c r="L4">
        <v>55</v>
      </c>
      <c r="M4">
        <v>55</v>
      </c>
      <c r="N4">
        <v>15</v>
      </c>
      <c r="O4">
        <v>14</v>
      </c>
    </row>
    <row r="5" spans="1:16" x14ac:dyDescent="0.25">
      <c r="A5" t="s">
        <v>33</v>
      </c>
    </row>
    <row r="6" spans="1:16" x14ac:dyDescent="0.25">
      <c r="A6" t="s">
        <v>32</v>
      </c>
      <c r="B6" s="7">
        <v>142823000</v>
      </c>
      <c r="C6" s="7">
        <v>126800000</v>
      </c>
      <c r="D6" s="7">
        <v>60480000</v>
      </c>
      <c r="E6" s="7">
        <v>46660000</v>
      </c>
      <c r="F6" s="7">
        <v>327200000</v>
      </c>
      <c r="G6" s="7">
        <v>51470000</v>
      </c>
      <c r="H6" s="7">
        <v>66440000</v>
      </c>
      <c r="I6" s="7">
        <v>24600000</v>
      </c>
      <c r="J6" s="7">
        <v>81160000</v>
      </c>
      <c r="K6" s="7">
        <v>66990000</v>
      </c>
      <c r="L6" s="7">
        <v>37590000</v>
      </c>
      <c r="M6" s="7">
        <v>14659616</v>
      </c>
      <c r="N6" s="7">
        <v>2930000</v>
      </c>
      <c r="O6" s="7">
        <v>552714.5</v>
      </c>
    </row>
    <row r="7" spans="1:16" x14ac:dyDescent="0.25">
      <c r="A7" t="s">
        <v>55</v>
      </c>
      <c r="B7" s="4">
        <v>0.11</v>
      </c>
      <c r="C7" s="4">
        <v>0.28000000000000003</v>
      </c>
      <c r="D7" s="4">
        <v>0.23</v>
      </c>
      <c r="E7" s="4">
        <v>0.19</v>
      </c>
      <c r="F7" s="4">
        <v>0.16</v>
      </c>
      <c r="G7" s="4">
        <v>0.14000000000000001</v>
      </c>
      <c r="H7" s="4">
        <v>0.18</v>
      </c>
      <c r="I7" s="4">
        <v>0.16</v>
      </c>
      <c r="J7" s="4">
        <v>6.2E-2</v>
      </c>
      <c r="K7" s="4">
        <v>0.2</v>
      </c>
      <c r="L7" s="4">
        <v>0.17</v>
      </c>
      <c r="M7" s="4">
        <v>0.17</v>
      </c>
      <c r="N7" s="4">
        <v>0.14000000000000001</v>
      </c>
      <c r="O7" s="4">
        <v>0.14000000000000001</v>
      </c>
    </row>
    <row r="9" spans="1:16" x14ac:dyDescent="0.25">
      <c r="A9" t="s">
        <v>31</v>
      </c>
      <c r="B9" s="30">
        <v>81174</v>
      </c>
      <c r="C9" s="30">
        <v>873</v>
      </c>
      <c r="D9" s="30">
        <v>35713</v>
      </c>
      <c r="E9" s="30">
        <v>13716</v>
      </c>
      <c r="F9" s="30">
        <v>7087</v>
      </c>
      <c r="G9" s="30">
        <v>8413</v>
      </c>
      <c r="H9" s="30">
        <v>2630</v>
      </c>
      <c r="I9" s="30">
        <v>510</v>
      </c>
      <c r="J9" s="30">
        <v>17361</v>
      </c>
      <c r="K9" s="30">
        <v>9043</v>
      </c>
      <c r="L9" s="30">
        <v>846</v>
      </c>
      <c r="M9" s="30">
        <v>251</v>
      </c>
      <c r="N9" s="30">
        <v>128</v>
      </c>
      <c r="O9" s="30">
        <v>12</v>
      </c>
      <c r="P9" s="1"/>
    </row>
    <row r="10" spans="1:16" x14ac:dyDescent="0.25">
      <c r="A10" t="s">
        <v>34</v>
      </c>
      <c r="B10" s="30"/>
      <c r="C10" s="30"/>
      <c r="D10" s="30"/>
      <c r="E10" s="30"/>
      <c r="F10" s="30"/>
      <c r="G10" s="30"/>
      <c r="H10" s="30"/>
      <c r="I10" s="30"/>
      <c r="J10" s="30"/>
      <c r="K10" s="30"/>
      <c r="L10" s="30"/>
      <c r="M10" s="30"/>
      <c r="N10" s="30"/>
      <c r="O10" s="30"/>
    </row>
    <row r="11" spans="1:16" x14ac:dyDescent="0.25">
      <c r="A11" t="s">
        <v>35</v>
      </c>
      <c r="B11" s="30">
        <v>3242</v>
      </c>
      <c r="C11" s="30">
        <v>29</v>
      </c>
      <c r="D11" s="30">
        <v>2978</v>
      </c>
      <c r="E11" s="30">
        <v>598</v>
      </c>
      <c r="F11" s="30">
        <v>100</v>
      </c>
      <c r="G11" s="30">
        <v>84</v>
      </c>
      <c r="H11" s="30">
        <v>103</v>
      </c>
      <c r="I11" s="30">
        <v>6</v>
      </c>
      <c r="J11" s="30">
        <v>1135</v>
      </c>
      <c r="K11" s="30">
        <v>244</v>
      </c>
      <c r="L11" s="30">
        <v>12</v>
      </c>
      <c r="M11" s="30">
        <v>2</v>
      </c>
      <c r="N11" s="30">
        <v>2</v>
      </c>
      <c r="O11" s="30">
        <v>0</v>
      </c>
    </row>
    <row r="13" spans="1:16" x14ac:dyDescent="0.25">
      <c r="A13" t="s">
        <v>36</v>
      </c>
    </row>
    <row r="14" spans="1:16" x14ac:dyDescent="0.25">
      <c r="A14" t="s">
        <v>34</v>
      </c>
    </row>
    <row r="15" spans="1:16" x14ac:dyDescent="0.25">
      <c r="A15" t="s">
        <v>35</v>
      </c>
      <c r="B15" s="1">
        <f>B11/B9</f>
        <v>3.9938896691058712E-2</v>
      </c>
      <c r="C15" s="1">
        <f t="shared" ref="C15:O15" si="0">C11/C9</f>
        <v>3.3218785796105384E-2</v>
      </c>
      <c r="D15" s="1">
        <f t="shared" si="0"/>
        <v>8.3387001932069549E-2</v>
      </c>
      <c r="E15" s="1">
        <f t="shared" si="0"/>
        <v>4.3598716827063282E-2</v>
      </c>
      <c r="F15" s="1">
        <f t="shared" si="0"/>
        <v>1.4110342881332016E-2</v>
      </c>
      <c r="G15" s="1">
        <f t="shared" si="0"/>
        <v>9.9845477237608463E-3</v>
      </c>
      <c r="H15" s="1">
        <f t="shared" si="0"/>
        <v>3.9163498098859315E-2</v>
      </c>
      <c r="I15" s="1">
        <f t="shared" si="0"/>
        <v>1.1764705882352941E-2</v>
      </c>
      <c r="J15" s="1">
        <f t="shared" si="0"/>
        <v>6.5376418409077819E-2</v>
      </c>
      <c r="K15" s="1">
        <f t="shared" si="0"/>
        <v>2.6982196173836116E-2</v>
      </c>
      <c r="L15" s="1">
        <f t="shared" si="0"/>
        <v>1.4184397163120567E-2</v>
      </c>
      <c r="M15" s="1">
        <f t="shared" si="0"/>
        <v>7.9681274900398405E-3</v>
      </c>
      <c r="N15" s="1">
        <f t="shared" si="0"/>
        <v>1.5625E-2</v>
      </c>
      <c r="O15" s="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t="s">
        <v>58</v>
      </c>
      <c r="B18" s="1">
        <v>0.15</v>
      </c>
      <c r="C18" s="1"/>
      <c r="D18" s="1">
        <v>0.56000000000000005</v>
      </c>
      <c r="E18" s="1"/>
      <c r="F18" s="1"/>
      <c r="G18" s="1"/>
      <c r="H18" s="1"/>
      <c r="I18" s="1"/>
      <c r="J18" s="1"/>
      <c r="K18" s="1"/>
      <c r="L18" s="1">
        <v>0.13</v>
      </c>
      <c r="M18" s="1"/>
      <c r="N18" s="1">
        <v>0.06</v>
      </c>
    </row>
    <row r="19" spans="1:15" x14ac:dyDescent="0.25">
      <c r="A19" t="s">
        <v>59</v>
      </c>
      <c r="B19" s="1">
        <v>0.05</v>
      </c>
      <c r="C19" s="1"/>
      <c r="D19" s="1">
        <v>0.1</v>
      </c>
      <c r="E19" s="1"/>
      <c r="F19" s="1"/>
      <c r="G19" s="1"/>
      <c r="H19" s="1"/>
      <c r="I19" s="1"/>
      <c r="J19" s="1"/>
      <c r="K19" s="1"/>
      <c r="L19" s="1"/>
      <c r="M19" s="1"/>
      <c r="N19" s="1">
        <v>0.04</v>
      </c>
    </row>
    <row r="20" spans="1:15" x14ac:dyDescent="0.25">
      <c r="B20" s="1"/>
      <c r="C20" s="1"/>
      <c r="D20" s="1"/>
      <c r="E20" s="1"/>
      <c r="F20" s="1"/>
      <c r="G20" s="1"/>
      <c r="H20" s="1"/>
      <c r="I20" s="1"/>
      <c r="J20" s="1"/>
      <c r="K20" s="1"/>
      <c r="L20" s="1"/>
      <c r="M20" s="1"/>
      <c r="N20" s="1"/>
    </row>
    <row r="22" spans="1:15" x14ac:dyDescent="0.25">
      <c r="A22" t="s">
        <v>42</v>
      </c>
    </row>
    <row r="23" spans="1:15" x14ac:dyDescent="0.25">
      <c r="A23" t="s">
        <v>41</v>
      </c>
      <c r="B23" s="7">
        <f t="shared" ref="B23:N23" si="1">B9/B6*100000</f>
        <v>56.835383656693949</v>
      </c>
      <c r="C23" s="7">
        <f t="shared" si="1"/>
        <v>0.68848580441640383</v>
      </c>
      <c r="D23" s="7">
        <f t="shared" si="1"/>
        <v>59.049272486772487</v>
      </c>
      <c r="E23" s="7">
        <f t="shared" si="1"/>
        <v>29.395627946849551</v>
      </c>
      <c r="F23" s="7">
        <f t="shared" si="1"/>
        <v>2.165953545232274</v>
      </c>
      <c r="G23" s="7">
        <f t="shared" si="1"/>
        <v>16.345443947930832</v>
      </c>
      <c r="H23" s="7">
        <f t="shared" si="1"/>
        <v>3.9584587597832632</v>
      </c>
      <c r="I23" s="7">
        <f t="shared" si="1"/>
        <v>2.0731707317073171</v>
      </c>
      <c r="J23" s="7">
        <f t="shared" si="1"/>
        <v>21.39107934943322</v>
      </c>
      <c r="K23" s="7">
        <f t="shared" si="1"/>
        <v>13.499029705926258</v>
      </c>
      <c r="L23" s="7">
        <f t="shared" si="1"/>
        <v>2.2505985634477255</v>
      </c>
      <c r="M23" s="7">
        <f t="shared" si="1"/>
        <v>1.7121867312213361</v>
      </c>
      <c r="N23" s="7">
        <f t="shared" si="1"/>
        <v>4.3686006825938568</v>
      </c>
      <c r="O23" s="8">
        <f>D23*$O$6/100000</f>
        <v>326.37389117890211</v>
      </c>
    </row>
    <row r="24" spans="1:15" x14ac:dyDescent="0.25">
      <c r="A24" t="s">
        <v>34</v>
      </c>
      <c r="O24" s="27">
        <f>O23*D18</f>
        <v>182.7693790601852</v>
      </c>
    </row>
    <row r="25" spans="1:15" x14ac:dyDescent="0.25">
      <c r="A25" t="s">
        <v>35</v>
      </c>
      <c r="B25" s="7">
        <f>B11/B6*100000</f>
        <v>2.2699425162613864</v>
      </c>
      <c r="C25" s="7">
        <f t="shared" ref="C25:N25" si="2">C11/C6*100000</f>
        <v>2.2870662460567823E-2</v>
      </c>
      <c r="D25" s="7">
        <f t="shared" si="2"/>
        <v>4.9239417989417991</v>
      </c>
      <c r="E25" s="7">
        <f t="shared" si="2"/>
        <v>1.2816116588084012</v>
      </c>
      <c r="F25" s="7">
        <f t="shared" si="2"/>
        <v>3.0562347188264057E-2</v>
      </c>
      <c r="G25" s="7">
        <f t="shared" si="2"/>
        <v>0.16320186516417332</v>
      </c>
      <c r="H25" s="7">
        <f t="shared" si="2"/>
        <v>0.15502709211318483</v>
      </c>
      <c r="I25" s="7">
        <f t="shared" si="2"/>
        <v>2.4390243902439022E-2</v>
      </c>
      <c r="J25" s="7">
        <f t="shared" si="2"/>
        <v>1.3984721537703302</v>
      </c>
      <c r="K25" s="7">
        <f t="shared" si="2"/>
        <v>0.36423346768174353</v>
      </c>
      <c r="L25" s="7">
        <f t="shared" si="2"/>
        <v>3.192338387869114E-2</v>
      </c>
      <c r="M25" s="7">
        <f t="shared" si="2"/>
        <v>1.3642922161126185E-2</v>
      </c>
      <c r="N25" s="7">
        <f t="shared" si="2"/>
        <v>6.8259385665529013E-2</v>
      </c>
      <c r="O25" s="8">
        <f>D25*$O$6/100000</f>
        <v>27.21534029431217</v>
      </c>
    </row>
    <row r="26" spans="1:15" x14ac:dyDescent="0.25">
      <c r="N26" s="1"/>
      <c r="O26" s="27">
        <f>O23*D19</f>
        <v>32.637389117890216</v>
      </c>
    </row>
    <row r="28" spans="1:15" x14ac:dyDescent="0.25">
      <c r="A28" s="10" t="s">
        <v>74</v>
      </c>
    </row>
    <row r="31" spans="1:15" x14ac:dyDescent="0.25">
      <c r="A31" t="s">
        <v>48</v>
      </c>
      <c r="B31" s="7">
        <f>B23*$L$6/100000</f>
        <v>21364.420716551256</v>
      </c>
      <c r="C31" s="7">
        <f t="shared" ref="C31:N31" si="3">C23*$L$6/100000</f>
        <v>258.80181388012619</v>
      </c>
      <c r="D31" s="7">
        <f t="shared" si="3"/>
        <v>22196.621527777777</v>
      </c>
      <c r="E31" s="7">
        <f t="shared" si="3"/>
        <v>11049.816545220747</v>
      </c>
      <c r="F31" s="7">
        <f t="shared" si="3"/>
        <v>814.18193765281183</v>
      </c>
      <c r="G31" s="7">
        <f t="shared" si="3"/>
        <v>6144.2523800272002</v>
      </c>
      <c r="H31" s="7">
        <f t="shared" si="3"/>
        <v>1487.9846478025288</v>
      </c>
      <c r="I31" s="7">
        <f t="shared" si="3"/>
        <v>779.30487804878055</v>
      </c>
      <c r="J31" s="7">
        <f t="shared" si="3"/>
        <v>8040.9067274519466</v>
      </c>
      <c r="K31" s="7"/>
      <c r="L31" s="7">
        <f t="shared" si="3"/>
        <v>846</v>
      </c>
      <c r="M31" s="7">
        <f t="shared" si="3"/>
        <v>643.61099226610031</v>
      </c>
      <c r="N31" s="7">
        <f t="shared" si="3"/>
        <v>1642.1569965870308</v>
      </c>
    </row>
    <row r="32" spans="1:15" x14ac:dyDescent="0.25">
      <c r="B32" s="7"/>
      <c r="C32" s="7"/>
      <c r="D32" s="7"/>
      <c r="E32" s="7"/>
      <c r="F32" s="7"/>
      <c r="G32" s="7"/>
      <c r="H32" s="7"/>
      <c r="I32" s="7"/>
      <c r="J32" s="7"/>
      <c r="K32" s="7"/>
      <c r="L32" s="7"/>
      <c r="M32" s="7"/>
      <c r="N32" s="7"/>
    </row>
    <row r="33" spans="1:14" x14ac:dyDescent="0.25">
      <c r="A33" t="s">
        <v>49</v>
      </c>
      <c r="B33" s="7">
        <f>B25*$L$6/100000</f>
        <v>853.27139186265515</v>
      </c>
      <c r="C33" s="7">
        <f t="shared" ref="C33:N33" si="4">C25*$L$6/100000</f>
        <v>8.5970820189274448</v>
      </c>
      <c r="D33" s="7">
        <f t="shared" si="4"/>
        <v>1850.9097222222224</v>
      </c>
      <c r="E33" s="7">
        <f t="shared" si="4"/>
        <v>481.75782254607805</v>
      </c>
      <c r="F33" s="7">
        <f t="shared" si="4"/>
        <v>11.488386308068458</v>
      </c>
      <c r="G33" s="7">
        <f t="shared" si="4"/>
        <v>61.347581115212748</v>
      </c>
      <c r="H33" s="7">
        <f t="shared" si="4"/>
        <v>58.274683925346174</v>
      </c>
      <c r="I33" s="7">
        <f t="shared" si="4"/>
        <v>9.168292682926829</v>
      </c>
      <c r="J33" s="7">
        <f t="shared" si="4"/>
        <v>525.68568260226709</v>
      </c>
      <c r="K33" s="7"/>
      <c r="L33" s="7">
        <f t="shared" si="4"/>
        <v>12</v>
      </c>
      <c r="M33" s="7">
        <f t="shared" si="4"/>
        <v>5.1283744403673328</v>
      </c>
      <c r="N33" s="7">
        <f t="shared" si="4"/>
        <v>25.658703071672356</v>
      </c>
    </row>
    <row r="35" spans="1:14" x14ac:dyDescent="0.25">
      <c r="A35" t="s">
        <v>48</v>
      </c>
      <c r="B35" t="s">
        <v>75</v>
      </c>
    </row>
    <row r="36" spans="1:14" x14ac:dyDescent="0.25">
      <c r="A36" t="s">
        <v>50</v>
      </c>
      <c r="B36" s="7">
        <f>MIN($B$31:$M$31)</f>
        <v>258.80181388012619</v>
      </c>
      <c r="C36" s="7"/>
    </row>
    <row r="37" spans="1:14" x14ac:dyDescent="0.25">
      <c r="A37" t="s">
        <v>51</v>
      </c>
      <c r="B37" s="7">
        <f>MAX(B31:M31)</f>
        <v>22196.621527777777</v>
      </c>
      <c r="C37">
        <f>B37*1.6%</f>
        <v>355.14594444444447</v>
      </c>
      <c r="D37" t="s">
        <v>78</v>
      </c>
    </row>
    <row r="39" spans="1:14" x14ac:dyDescent="0.25">
      <c r="A39" t="s">
        <v>49</v>
      </c>
    </row>
    <row r="40" spans="1:14" x14ac:dyDescent="0.25">
      <c r="A40" t="s">
        <v>50</v>
      </c>
      <c r="B40" s="7">
        <f>MIN(B33:M33)</f>
        <v>5.1283744403673328</v>
      </c>
    </row>
    <row r="41" spans="1:14" x14ac:dyDescent="0.25">
      <c r="A41" t="s">
        <v>51</v>
      </c>
      <c r="B41" s="7">
        <f>MAX($B$33:$M$33)</f>
        <v>1850.9097222222224</v>
      </c>
      <c r="C41">
        <f>B41*1.6%</f>
        <v>29.614555555555558</v>
      </c>
      <c r="D41" t="s">
        <v>78</v>
      </c>
    </row>
    <row r="42" spans="1:14" x14ac:dyDescent="0.25">
      <c r="B42" s="7"/>
    </row>
    <row r="43" spans="1:14" x14ac:dyDescent="0.25">
      <c r="A43" t="s">
        <v>63</v>
      </c>
      <c r="B43" s="7" t="s">
        <v>65</v>
      </c>
      <c r="C43" t="s">
        <v>66</v>
      </c>
    </row>
    <row r="44" spans="1:14" x14ac:dyDescent="0.25">
      <c r="A44" t="s">
        <v>50</v>
      </c>
      <c r="B44" s="7">
        <f>B18*L9</f>
        <v>126.89999999999999</v>
      </c>
      <c r="C44" s="7">
        <f>B36*B18</f>
        <v>38.820272082018924</v>
      </c>
    </row>
    <row r="45" spans="1:14" x14ac:dyDescent="0.25">
      <c r="A45" t="s">
        <v>51</v>
      </c>
      <c r="B45" s="7">
        <f>L9*D18</f>
        <v>473.76000000000005</v>
      </c>
      <c r="C45" s="7">
        <f>B37*D18</f>
        <v>12430.108055555556</v>
      </c>
      <c r="D45">
        <f>C45*1.6%</f>
        <v>198.88172888888892</v>
      </c>
      <c r="E45" t="s">
        <v>78</v>
      </c>
    </row>
    <row r="46" spans="1:14" x14ac:dyDescent="0.25">
      <c r="B46" s="7"/>
    </row>
    <row r="47" spans="1:14" x14ac:dyDescent="0.25">
      <c r="A47" t="s">
        <v>64</v>
      </c>
      <c r="B47" s="7" t="s">
        <v>77</v>
      </c>
      <c r="C47" t="s">
        <v>76</v>
      </c>
    </row>
    <row r="48" spans="1:14" x14ac:dyDescent="0.25">
      <c r="A48" t="s">
        <v>50</v>
      </c>
      <c r="B48" s="7"/>
    </row>
    <row r="49" spans="1:14" x14ac:dyDescent="0.25">
      <c r="A49" t="s">
        <v>51</v>
      </c>
      <c r="B49" s="7">
        <f>L9*D19</f>
        <v>84.600000000000009</v>
      </c>
      <c r="C49" s="7">
        <f>B37*D19</f>
        <v>2219.6621527777779</v>
      </c>
      <c r="D49">
        <f>C49*1.6%</f>
        <v>35.514594444444448</v>
      </c>
      <c r="E49" t="s">
        <v>78</v>
      </c>
    </row>
    <row r="52" spans="1:14" x14ac:dyDescent="0.25">
      <c r="A52" s="10" t="s">
        <v>47</v>
      </c>
    </row>
    <row r="54" spans="1:14" x14ac:dyDescent="0.25">
      <c r="A54" t="s">
        <v>48</v>
      </c>
      <c r="B54" s="7">
        <f>B23*$M$6/100000</f>
        <v>8331.8489961980922</v>
      </c>
      <c r="C54" s="7">
        <f t="shared" ref="C54:M54" si="5">C23*$M$6/100000</f>
        <v>100.92937514195584</v>
      </c>
      <c r="D54" s="7">
        <f t="shared" si="5"/>
        <v>8656.3965973544982</v>
      </c>
      <c r="E54" s="7">
        <f t="shared" si="5"/>
        <v>4309.2861777968283</v>
      </c>
      <c r="F54" s="7">
        <f t="shared" si="5"/>
        <v>317.52047246943766</v>
      </c>
      <c r="G54" s="7">
        <f t="shared" si="5"/>
        <v>2396.1793162618997</v>
      </c>
      <c r="H54" s="7">
        <f t="shared" si="5"/>
        <v>580.29485370258885</v>
      </c>
      <c r="I54" s="7">
        <f t="shared" si="5"/>
        <v>303.91886829268293</v>
      </c>
      <c r="J54" s="7"/>
      <c r="K54" s="7"/>
      <c r="L54" s="7">
        <f t="shared" si="5"/>
        <v>329.92910710295291</v>
      </c>
      <c r="M54" s="7">
        <f t="shared" si="5"/>
        <v>251</v>
      </c>
      <c r="N54" s="7"/>
    </row>
    <row r="55" spans="1:14" x14ac:dyDescent="0.25">
      <c r="B55" s="7"/>
      <c r="C55" s="7"/>
      <c r="D55" s="7"/>
      <c r="E55" s="7"/>
      <c r="F55" s="7"/>
      <c r="G55" s="7"/>
      <c r="H55" s="7"/>
      <c r="I55" s="7"/>
      <c r="J55" s="7"/>
      <c r="K55" s="7"/>
      <c r="L55" s="7"/>
      <c r="M55" s="7"/>
      <c r="N55" s="7"/>
    </row>
    <row r="56" spans="1:14" x14ac:dyDescent="0.25">
      <c r="A56" t="s">
        <v>49</v>
      </c>
      <c r="B56" s="7">
        <f t="shared" ref="B56:M56" si="6">B25*$M$6/100000</f>
        <v>332.7648563046568</v>
      </c>
      <c r="C56" s="7">
        <f t="shared" si="6"/>
        <v>3.3527512933753942</v>
      </c>
      <c r="D56" s="7">
        <f t="shared" si="6"/>
        <v>721.83095978835991</v>
      </c>
      <c r="E56" s="7">
        <f t="shared" si="6"/>
        <v>187.87934779254181</v>
      </c>
      <c r="F56" s="7">
        <f t="shared" si="6"/>
        <v>4.4803227383863078</v>
      </c>
      <c r="G56" s="7">
        <f t="shared" si="6"/>
        <v>23.924766737905578</v>
      </c>
      <c r="H56" s="7">
        <f t="shared" si="6"/>
        <v>22.726376399759179</v>
      </c>
      <c r="I56" s="7">
        <f t="shared" si="6"/>
        <v>3.5755160975609757</v>
      </c>
      <c r="J56" s="7"/>
      <c r="K56" s="7"/>
      <c r="L56" s="7">
        <f t="shared" si="6"/>
        <v>4.6798454908220268</v>
      </c>
      <c r="M56" s="7">
        <f t="shared" si="6"/>
        <v>2</v>
      </c>
      <c r="N56" s="7"/>
    </row>
    <row r="58" spans="1:14" x14ac:dyDescent="0.25">
      <c r="A58" t="s">
        <v>48</v>
      </c>
    </row>
    <row r="59" spans="1:14" x14ac:dyDescent="0.25">
      <c r="A59" t="s">
        <v>50</v>
      </c>
      <c r="B59" s="7">
        <f>MIN($B$54:$M$54)</f>
        <v>100.92937514195584</v>
      </c>
    </row>
    <row r="60" spans="1:14" x14ac:dyDescent="0.25">
      <c r="A60" t="s">
        <v>51</v>
      </c>
      <c r="B60" s="7">
        <f>MAX($B$54:$M$54)</f>
        <v>8656.3965973544982</v>
      </c>
    </row>
    <row r="62" spans="1:14" x14ac:dyDescent="0.25">
      <c r="A62" t="s">
        <v>49</v>
      </c>
    </row>
    <row r="63" spans="1:14" x14ac:dyDescent="0.25">
      <c r="A63" t="s">
        <v>50</v>
      </c>
      <c r="B63" s="7">
        <f>MIN($B$56:$M$56)</f>
        <v>2</v>
      </c>
    </row>
    <row r="64" spans="1:14" x14ac:dyDescent="0.25">
      <c r="A64" t="s">
        <v>51</v>
      </c>
      <c r="B64" s="7">
        <f>MAX($B$56:$M$56)</f>
        <v>721.83095978835991</v>
      </c>
    </row>
    <row r="65" spans="1:14" x14ac:dyDescent="0.25">
      <c r="B65" s="7"/>
    </row>
    <row r="66" spans="1:14" x14ac:dyDescent="0.25">
      <c r="A66" t="s">
        <v>63</v>
      </c>
      <c r="B66" s="7" t="s">
        <v>77</v>
      </c>
      <c r="C66" t="s">
        <v>76</v>
      </c>
    </row>
    <row r="67" spans="1:14" x14ac:dyDescent="0.25">
      <c r="A67" t="s">
        <v>50</v>
      </c>
      <c r="B67" s="7">
        <f>B18*M9</f>
        <v>37.65</v>
      </c>
    </row>
    <row r="68" spans="1:14" x14ac:dyDescent="0.25">
      <c r="A68" t="s">
        <v>51</v>
      </c>
      <c r="B68" s="7">
        <f>D18*M9</f>
        <v>140.56</v>
      </c>
      <c r="C68" s="7">
        <f>B60*D18</f>
        <v>4847.5820945185196</v>
      </c>
    </row>
    <row r="69" spans="1:14" x14ac:dyDescent="0.25">
      <c r="B69" s="7"/>
    </row>
    <row r="70" spans="1:14" x14ac:dyDescent="0.25">
      <c r="A70" t="s">
        <v>64</v>
      </c>
      <c r="B70" s="7" t="s">
        <v>77</v>
      </c>
      <c r="C70" t="s">
        <v>76</v>
      </c>
    </row>
    <row r="71" spans="1:14" x14ac:dyDescent="0.25">
      <c r="A71" t="s">
        <v>50</v>
      </c>
      <c r="B71" s="7">
        <f>B19*M9</f>
        <v>12.55</v>
      </c>
    </row>
    <row r="72" spans="1:14" x14ac:dyDescent="0.25">
      <c r="A72" t="s">
        <v>51</v>
      </c>
      <c r="B72">
        <f>D19*M9</f>
        <v>25.1</v>
      </c>
      <c r="C72" s="7">
        <f>B60*D19</f>
        <v>865.63965973544987</v>
      </c>
    </row>
    <row r="74" spans="1:14" x14ac:dyDescent="0.25">
      <c r="A74" s="10" t="s">
        <v>52</v>
      </c>
    </row>
    <row r="76" spans="1:14" x14ac:dyDescent="0.25">
      <c r="A76" t="s">
        <v>48</v>
      </c>
      <c r="B76" s="7">
        <f>B23*$O$6/100000</f>
        <v>314.1374066011777</v>
      </c>
      <c r="C76" s="7">
        <f t="shared" ref="C76:M78" si="7">C23*$O$6/100000</f>
        <v>3.805360871451104</v>
      </c>
      <c r="D76" s="7">
        <f t="shared" si="7"/>
        <v>326.37389117890211</v>
      </c>
      <c r="E76" s="7">
        <f t="shared" si="7"/>
        <v>162.47389802828977</v>
      </c>
      <c r="F76" s="7">
        <f t="shared" si="7"/>
        <v>11.971539307762836</v>
      </c>
      <c r="G76" s="7">
        <f t="shared" si="7"/>
        <v>90.343638789586166</v>
      </c>
      <c r="H76" s="7">
        <f t="shared" si="7"/>
        <v>21.878975541842262</v>
      </c>
      <c r="I76" s="7">
        <f t="shared" si="7"/>
        <v>11.458715243902439</v>
      </c>
      <c r="J76" s="7"/>
      <c r="K76" s="7"/>
      <c r="L76" s="7">
        <f t="shared" si="7"/>
        <v>12.439384596967278</v>
      </c>
      <c r="M76" s="7">
        <f t="shared" si="7"/>
        <v>9.4635043305363524</v>
      </c>
      <c r="N76" s="7"/>
    </row>
    <row r="77" spans="1:14" x14ac:dyDescent="0.25">
      <c r="B77" s="7"/>
      <c r="C77" s="7"/>
      <c r="D77" s="7"/>
      <c r="E77" s="7"/>
      <c r="F77" s="7"/>
      <c r="G77" s="7"/>
      <c r="H77" s="7"/>
      <c r="I77" s="7"/>
      <c r="J77" s="7"/>
      <c r="K77" s="7"/>
      <c r="L77" s="7"/>
      <c r="M77" s="7"/>
      <c r="N77" s="7"/>
    </row>
    <row r="78" spans="1:14" x14ac:dyDescent="0.25">
      <c r="A78" t="s">
        <v>49</v>
      </c>
      <c r="B78" s="7">
        <f>B25*$O$6/100000</f>
        <v>12.54630142904154</v>
      </c>
      <c r="C78" s="7">
        <f t="shared" si="7"/>
        <v>0.12640946766561514</v>
      </c>
      <c r="D78" s="7">
        <f t="shared" si="7"/>
        <v>27.21534029431217</v>
      </c>
      <c r="E78" s="7">
        <f t="shared" si="7"/>
        <v>7.0836534719245616</v>
      </c>
      <c r="F78" s="7">
        <f t="shared" si="7"/>
        <v>0.16892252444987774</v>
      </c>
      <c r="G78" s="7">
        <f t="shared" si="7"/>
        <v>0.9020403730328348</v>
      </c>
      <c r="H78" s="7">
        <f t="shared" si="7"/>
        <v>0.85685721703792894</v>
      </c>
      <c r="I78" s="7">
        <f t="shared" si="7"/>
        <v>0.13480841463414631</v>
      </c>
      <c r="J78" s="7"/>
      <c r="K78" s="7"/>
      <c r="L78" s="7">
        <f t="shared" si="7"/>
        <v>0.17644517158818834</v>
      </c>
      <c r="M78" s="7">
        <f t="shared" si="7"/>
        <v>7.5406409008257791E-2</v>
      </c>
      <c r="N78" s="7"/>
    </row>
    <row r="80" spans="1:14" x14ac:dyDescent="0.25">
      <c r="A80" t="s">
        <v>48</v>
      </c>
      <c r="B80" t="s">
        <v>72</v>
      </c>
      <c r="C80" t="s">
        <v>73</v>
      </c>
    </row>
    <row r="81" spans="1:3" x14ac:dyDescent="0.25">
      <c r="A81" t="s">
        <v>50</v>
      </c>
      <c r="B81" s="7">
        <f>MIN($B$76:$M$76)</f>
        <v>3.805360871451104</v>
      </c>
      <c r="C81" s="7">
        <f>MIN($C$76:$M$76)</f>
        <v>3.805360871451104</v>
      </c>
    </row>
    <row r="82" spans="1:3" x14ac:dyDescent="0.25">
      <c r="A82" t="s">
        <v>51</v>
      </c>
      <c r="B82" s="7">
        <f>MAX($B$76:$M$76)</f>
        <v>326.37389117890211</v>
      </c>
      <c r="C82" s="7">
        <f>MAX($C$76:$M$76)</f>
        <v>326.37389117890211</v>
      </c>
    </row>
    <row r="84" spans="1:3" x14ac:dyDescent="0.25">
      <c r="A84" t="s">
        <v>49</v>
      </c>
    </row>
    <row r="85" spans="1:3" x14ac:dyDescent="0.25">
      <c r="A85" t="s">
        <v>50</v>
      </c>
      <c r="B85" s="7">
        <f>MIN($B$78:$M$78)</f>
        <v>7.5406409008257791E-2</v>
      </c>
      <c r="C85" s="7">
        <f>MIN($C$78:$M$78)</f>
        <v>7.5406409008257791E-2</v>
      </c>
    </row>
    <row r="86" spans="1:3" x14ac:dyDescent="0.25">
      <c r="A86" t="s">
        <v>51</v>
      </c>
      <c r="B86" s="7">
        <f>MAX($B$78:$M$78)</f>
        <v>27.21534029431217</v>
      </c>
      <c r="C86" s="7">
        <f>MAX($C$78:$M$78)</f>
        <v>27.21534029431217</v>
      </c>
    </row>
    <row r="88" spans="1:3" x14ac:dyDescent="0.25">
      <c r="A88" t="s">
        <v>27</v>
      </c>
    </row>
    <row r="89" spans="1:3" x14ac:dyDescent="0.25">
      <c r="A89" t="s">
        <v>50</v>
      </c>
    </row>
    <row r="90" spans="1:3" x14ac:dyDescent="0.25">
      <c r="A90" t="s">
        <v>51</v>
      </c>
      <c r="B90" s="7">
        <f>B82*$D$18</f>
        <v>182.7693790601852</v>
      </c>
      <c r="C90" s="7">
        <f>C82*$D$18</f>
        <v>182.7693790601852</v>
      </c>
    </row>
    <row r="91" spans="1:3" x14ac:dyDescent="0.25">
      <c r="B91" s="7"/>
    </row>
    <row r="92" spans="1:3" x14ac:dyDescent="0.25">
      <c r="A92" t="s">
        <v>62</v>
      </c>
      <c r="B92" s="7"/>
    </row>
    <row r="93" spans="1:3" x14ac:dyDescent="0.25">
      <c r="A93" t="s">
        <v>50</v>
      </c>
      <c r="B93" s="7"/>
    </row>
    <row r="94" spans="1:3" x14ac:dyDescent="0.25">
      <c r="A94" t="s">
        <v>51</v>
      </c>
      <c r="B94" s="7">
        <f>B82*$D$19</f>
        <v>32.637389117890216</v>
      </c>
      <c r="C94" s="7">
        <f>C82*$D$19</f>
        <v>32.637389117890216</v>
      </c>
    </row>
  </sheetData>
  <hyperlinks>
    <hyperlink ref="D17" r:id="rId1" xr:uid="{0F1E0002-F138-4F7E-B8A7-3D2D2855C9B5}"/>
    <hyperlink ref="B17" r:id="rId2" xr:uid="{BED087E9-E7E0-4DED-A278-D5BC8B37EAF9}"/>
    <hyperlink ref="B1" r:id="rId3" xr:uid="{76EB2FA7-DD94-496B-AFC2-EF388DBBC3A9}"/>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CF19-6A41-49ED-9DAD-AFDE063754AF}">
  <sheetPr codeName="Sheet17"/>
  <dimension ref="A1:O94"/>
  <sheetViews>
    <sheetView workbookViewId="0">
      <selection activeCell="B9" sqref="B9"/>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0" width="12.140625" customWidth="1"/>
    <col min="11" max="12" width="12.140625" bestFit="1" customWidth="1"/>
    <col min="13" max="13" width="12.140625" customWidth="1"/>
    <col min="14" max="14" width="12.140625" bestFit="1" customWidth="1"/>
  </cols>
  <sheetData>
    <row r="1" spans="1:15" x14ac:dyDescent="0.25">
      <c r="A1" t="s">
        <v>38</v>
      </c>
      <c r="B1" s="11" t="s">
        <v>89</v>
      </c>
    </row>
    <row r="2" spans="1:15" x14ac:dyDescent="0.25">
      <c r="B2" t="s">
        <v>56</v>
      </c>
      <c r="C2" t="s">
        <v>43</v>
      </c>
      <c r="D2" t="s">
        <v>28</v>
      </c>
      <c r="E2" t="s">
        <v>44</v>
      </c>
      <c r="F2" t="s">
        <v>29</v>
      </c>
      <c r="G2" t="s">
        <v>39</v>
      </c>
      <c r="H2" t="s">
        <v>30</v>
      </c>
      <c r="I2" t="s">
        <v>40</v>
      </c>
      <c r="J2" t="s">
        <v>79</v>
      </c>
      <c r="K2" t="s">
        <v>45</v>
      </c>
      <c r="L2" t="s">
        <v>17</v>
      </c>
      <c r="M2" t="s">
        <v>95</v>
      </c>
      <c r="N2" t="s">
        <v>16</v>
      </c>
    </row>
    <row r="3" spans="1:15" x14ac:dyDescent="0.25">
      <c r="A3" t="s">
        <v>71</v>
      </c>
      <c r="B3" s="26">
        <v>43786</v>
      </c>
      <c r="C3" s="26">
        <v>43481</v>
      </c>
      <c r="D3" s="26">
        <v>43496</v>
      </c>
      <c r="E3" s="26">
        <v>43496</v>
      </c>
      <c r="F3" s="26">
        <v>43486</v>
      </c>
      <c r="G3" s="26">
        <v>43485</v>
      </c>
      <c r="H3" s="26">
        <v>43496</v>
      </c>
      <c r="I3" s="26">
        <v>43490</v>
      </c>
      <c r="J3" s="26">
        <v>43515</v>
      </c>
      <c r="K3" s="26">
        <v>43490</v>
      </c>
      <c r="L3" s="26">
        <v>43490</v>
      </c>
      <c r="M3" s="26">
        <v>43490</v>
      </c>
      <c r="N3" s="26">
        <v>43529</v>
      </c>
    </row>
    <row r="4" spans="1:15" x14ac:dyDescent="0.25">
      <c r="A4" t="s">
        <v>70</v>
      </c>
      <c r="B4">
        <v>123</v>
      </c>
      <c r="C4">
        <v>63</v>
      </c>
      <c r="D4">
        <v>48</v>
      </c>
      <c r="E4">
        <v>48</v>
      </c>
      <c r="F4">
        <v>58</v>
      </c>
      <c r="G4">
        <v>58</v>
      </c>
      <c r="H4">
        <v>48</v>
      </c>
      <c r="I4">
        <v>54</v>
      </c>
      <c r="J4">
        <v>29</v>
      </c>
      <c r="K4">
        <v>54</v>
      </c>
      <c r="L4">
        <v>54</v>
      </c>
      <c r="M4">
        <v>108</v>
      </c>
      <c r="N4">
        <v>14</v>
      </c>
    </row>
    <row r="5" spans="1:15" x14ac:dyDescent="0.25">
      <c r="A5" t="s">
        <v>33</v>
      </c>
    </row>
    <row r="6" spans="1:15" x14ac:dyDescent="0.25">
      <c r="A6" t="s">
        <v>32</v>
      </c>
      <c r="B6" s="7">
        <v>142823000</v>
      </c>
      <c r="C6" s="7">
        <v>126800000</v>
      </c>
      <c r="D6" s="7">
        <v>60480000</v>
      </c>
      <c r="E6" s="7">
        <v>46660000</v>
      </c>
      <c r="F6" s="7">
        <v>327200000</v>
      </c>
      <c r="G6" s="7">
        <v>51470000</v>
      </c>
      <c r="H6" s="7">
        <v>66440000</v>
      </c>
      <c r="I6" s="7">
        <v>24600000</v>
      </c>
      <c r="J6" s="7">
        <v>81160000</v>
      </c>
      <c r="K6" s="7">
        <v>37590000</v>
      </c>
      <c r="L6" s="7">
        <v>14659616</v>
      </c>
      <c r="M6" s="7">
        <v>2930000</v>
      </c>
      <c r="N6" s="7">
        <v>552714.5</v>
      </c>
    </row>
    <row r="7" spans="1:15" x14ac:dyDescent="0.25">
      <c r="A7" t="s">
        <v>55</v>
      </c>
      <c r="B7" s="4">
        <v>0.11</v>
      </c>
      <c r="C7" s="4">
        <v>0.28000000000000003</v>
      </c>
      <c r="D7" s="4">
        <v>0.23</v>
      </c>
      <c r="E7" s="4">
        <v>0.19</v>
      </c>
      <c r="F7" s="4">
        <v>0.16</v>
      </c>
      <c r="G7" s="4">
        <v>0.14000000000000001</v>
      </c>
      <c r="H7" s="4">
        <v>0.18</v>
      </c>
      <c r="I7" s="4">
        <v>0.16</v>
      </c>
      <c r="J7" s="4">
        <v>6.2E-2</v>
      </c>
      <c r="K7" s="4">
        <v>0.17</v>
      </c>
      <c r="L7" s="4">
        <v>0.17</v>
      </c>
      <c r="M7" s="4">
        <v>0.14000000000000001</v>
      </c>
      <c r="N7" s="4">
        <v>0.14000000000000001</v>
      </c>
    </row>
    <row r="9" spans="1:15" x14ac:dyDescent="0.25">
      <c r="A9" t="s">
        <v>31</v>
      </c>
      <c r="B9" s="30">
        <v>81116</v>
      </c>
      <c r="C9" s="30">
        <v>829</v>
      </c>
      <c r="D9" s="30">
        <v>31506</v>
      </c>
      <c r="E9" s="30">
        <v>11178</v>
      </c>
      <c r="F9" s="30">
        <v>3536</v>
      </c>
      <c r="G9" s="30">
        <v>8320</v>
      </c>
      <c r="H9" s="30">
        <v>1954</v>
      </c>
      <c r="I9" s="30">
        <v>414</v>
      </c>
      <c r="J9" s="30">
        <v>16169</v>
      </c>
      <c r="K9" s="30">
        <v>690</v>
      </c>
      <c r="L9" s="30">
        <v>214</v>
      </c>
      <c r="M9" s="30">
        <v>108</v>
      </c>
      <c r="N9" s="30">
        <v>10</v>
      </c>
      <c r="O9" s="1"/>
    </row>
    <row r="10" spans="1:15" x14ac:dyDescent="0.25">
      <c r="A10" t="s">
        <v>34</v>
      </c>
      <c r="B10" s="30"/>
      <c r="C10" s="30"/>
      <c r="D10" s="30"/>
      <c r="E10" s="30"/>
      <c r="F10" s="30"/>
      <c r="G10" s="30"/>
      <c r="H10" s="30"/>
      <c r="I10" s="30"/>
      <c r="J10" s="30"/>
      <c r="K10" s="30"/>
      <c r="L10" s="30"/>
      <c r="M10" s="30"/>
      <c r="N10" s="30"/>
    </row>
    <row r="11" spans="1:15" x14ac:dyDescent="0.25">
      <c r="A11" t="s">
        <v>35</v>
      </c>
      <c r="B11" s="30">
        <v>3231</v>
      </c>
      <c r="C11" s="30">
        <v>28</v>
      </c>
      <c r="D11" s="30">
        <v>2503</v>
      </c>
      <c r="E11" s="30">
        <v>491</v>
      </c>
      <c r="F11" s="30">
        <v>58</v>
      </c>
      <c r="G11" s="30">
        <v>81</v>
      </c>
      <c r="H11" s="30">
        <v>55</v>
      </c>
      <c r="I11" s="30">
        <v>5</v>
      </c>
      <c r="J11" s="30">
        <v>988</v>
      </c>
      <c r="K11" s="30">
        <v>10</v>
      </c>
      <c r="L11" s="30">
        <v>1</v>
      </c>
      <c r="M11" s="30">
        <v>0</v>
      </c>
      <c r="N11" s="30">
        <v>0</v>
      </c>
    </row>
    <row r="13" spans="1:15" x14ac:dyDescent="0.25">
      <c r="A13" t="s">
        <v>36</v>
      </c>
    </row>
    <row r="14" spans="1:15" x14ac:dyDescent="0.25">
      <c r="A14" t="s">
        <v>34</v>
      </c>
    </row>
    <row r="15" spans="1:15" x14ac:dyDescent="0.25">
      <c r="A15" t="s">
        <v>35</v>
      </c>
      <c r="B15" s="1">
        <f>B11/B9</f>
        <v>3.9831845751762907E-2</v>
      </c>
      <c r="C15" s="1">
        <f t="shared" ref="C15:N15" si="0">C11/C9</f>
        <v>3.3775633293124246E-2</v>
      </c>
      <c r="D15" s="1">
        <f t="shared" si="0"/>
        <v>7.9445185044118585E-2</v>
      </c>
      <c r="E15" s="1">
        <f t="shared" si="0"/>
        <v>4.3925568080157455E-2</v>
      </c>
      <c r="F15" s="1">
        <f t="shared" si="0"/>
        <v>1.6402714932126698E-2</v>
      </c>
      <c r="G15" s="1">
        <f t="shared" si="0"/>
        <v>9.7355769230769232E-3</v>
      </c>
      <c r="H15" s="1">
        <f t="shared" si="0"/>
        <v>2.8147389969293755E-2</v>
      </c>
      <c r="I15" s="1">
        <f t="shared" si="0"/>
        <v>1.2077294685990338E-2</v>
      </c>
      <c r="J15" s="1">
        <f t="shared" si="0"/>
        <v>6.1104582843713277E-2</v>
      </c>
      <c r="K15" s="1">
        <f t="shared" si="0"/>
        <v>1.4492753623188406E-2</v>
      </c>
      <c r="L15" s="1">
        <f t="shared" si="0"/>
        <v>4.6728971962616819E-3</v>
      </c>
      <c r="M15" s="1">
        <f t="shared" si="0"/>
        <v>0</v>
      </c>
      <c r="N15" s="1">
        <f t="shared" si="0"/>
        <v>0</v>
      </c>
    </row>
    <row r="16" spans="1:15" x14ac:dyDescent="0.25">
      <c r="B16" s="1"/>
      <c r="C16" s="1"/>
      <c r="D16" s="1"/>
      <c r="E16" s="1"/>
      <c r="F16" s="1"/>
      <c r="G16" s="1"/>
      <c r="H16" s="1"/>
      <c r="I16" s="1"/>
      <c r="J16" s="1"/>
      <c r="K16" s="1"/>
      <c r="L16" s="1"/>
      <c r="M16" s="1"/>
    </row>
    <row r="17" spans="1:14" x14ac:dyDescent="0.25">
      <c r="B17" s="11" t="s">
        <v>61</v>
      </c>
      <c r="C17" s="1"/>
      <c r="D17" s="11" t="s">
        <v>60</v>
      </c>
      <c r="E17" s="1"/>
      <c r="F17" s="1"/>
      <c r="G17" s="1"/>
      <c r="H17" s="1"/>
      <c r="I17" s="1"/>
      <c r="J17" s="1"/>
      <c r="K17" s="1"/>
      <c r="L17" s="1"/>
      <c r="M17" s="1"/>
    </row>
    <row r="18" spans="1:14" x14ac:dyDescent="0.25">
      <c r="A18" t="s">
        <v>58</v>
      </c>
      <c r="B18" s="1">
        <v>0.15</v>
      </c>
      <c r="C18" s="1"/>
      <c r="D18" s="1">
        <v>0.56000000000000005</v>
      </c>
      <c r="E18" s="1"/>
      <c r="F18" s="1"/>
      <c r="G18" s="1"/>
      <c r="H18" s="1"/>
      <c r="I18" s="1"/>
      <c r="J18" s="1"/>
      <c r="K18" s="1">
        <v>0.13</v>
      </c>
      <c r="L18" s="1"/>
      <c r="M18" s="1">
        <v>0.06</v>
      </c>
    </row>
    <row r="19" spans="1:14" x14ac:dyDescent="0.25">
      <c r="A19" t="s">
        <v>59</v>
      </c>
      <c r="B19" s="1">
        <v>0.05</v>
      </c>
      <c r="C19" s="1"/>
      <c r="D19" s="1">
        <v>0.1</v>
      </c>
      <c r="E19" s="1"/>
      <c r="F19" s="1"/>
      <c r="G19" s="1"/>
      <c r="H19" s="1"/>
      <c r="I19" s="1"/>
      <c r="J19" s="1"/>
      <c r="K19" s="1"/>
      <c r="L19" s="1"/>
      <c r="M19" s="1">
        <v>0.04</v>
      </c>
    </row>
    <row r="20" spans="1:14" x14ac:dyDescent="0.25">
      <c r="B20" s="1"/>
      <c r="C20" s="1"/>
      <c r="D20" s="1"/>
      <c r="E20" s="1"/>
      <c r="F20" s="1"/>
      <c r="G20" s="1"/>
      <c r="H20" s="1"/>
      <c r="I20" s="1"/>
      <c r="J20" s="1"/>
      <c r="K20" s="1"/>
      <c r="L20" s="1"/>
      <c r="M20" s="1"/>
    </row>
    <row r="22" spans="1:14" x14ac:dyDescent="0.25">
      <c r="A22" t="s">
        <v>42</v>
      </c>
    </row>
    <row r="23" spans="1:14" x14ac:dyDescent="0.25">
      <c r="A23" t="s">
        <v>41</v>
      </c>
      <c r="B23" s="7">
        <f t="shared" ref="B23:M23" si="1">B9/B6*100000</f>
        <v>56.794773950974282</v>
      </c>
      <c r="C23" s="7">
        <f t="shared" si="1"/>
        <v>0.65378548895899058</v>
      </c>
      <c r="D23" s="7">
        <f t="shared" si="1"/>
        <v>52.093253968253961</v>
      </c>
      <c r="E23" s="7">
        <f t="shared" si="1"/>
        <v>23.956279468495499</v>
      </c>
      <c r="F23" s="7">
        <f t="shared" si="1"/>
        <v>1.0806845965770171</v>
      </c>
      <c r="G23" s="7">
        <f t="shared" si="1"/>
        <v>16.164756168641929</v>
      </c>
      <c r="H23" s="7">
        <f t="shared" si="1"/>
        <v>2.9409993979530404</v>
      </c>
      <c r="I23" s="7">
        <f t="shared" si="1"/>
        <v>1.6829268292682928</v>
      </c>
      <c r="J23" s="7">
        <f t="shared" si="1"/>
        <v>19.922375554460327</v>
      </c>
      <c r="K23" s="7">
        <f t="shared" si="1"/>
        <v>1.8355945730247407</v>
      </c>
      <c r="L23" s="7">
        <f t="shared" si="1"/>
        <v>1.4597926712405018</v>
      </c>
      <c r="M23" s="7">
        <f t="shared" si="1"/>
        <v>3.6860068259385668</v>
      </c>
      <c r="N23" s="8">
        <f>D23*$N$6/100000</f>
        <v>287.92696820436504</v>
      </c>
    </row>
    <row r="24" spans="1:14" x14ac:dyDescent="0.25">
      <c r="A24" t="s">
        <v>34</v>
      </c>
      <c r="N24" s="27">
        <f>N23*D18</f>
        <v>161.23910219444443</v>
      </c>
    </row>
    <row r="25" spans="1:14" x14ac:dyDescent="0.25">
      <c r="A25" t="s">
        <v>35</v>
      </c>
      <c r="B25" s="7">
        <f>B11/B6*100000</f>
        <v>2.2622406755214497</v>
      </c>
      <c r="C25" s="7">
        <f t="shared" ref="C25:M25" si="2">C11/C6*100000</f>
        <v>2.2082018927444796E-2</v>
      </c>
      <c r="D25" s="7">
        <f t="shared" si="2"/>
        <v>4.1385582010582009</v>
      </c>
      <c r="E25" s="7">
        <f t="shared" si="2"/>
        <v>1.0522931847406771</v>
      </c>
      <c r="F25" s="7">
        <f t="shared" si="2"/>
        <v>1.7726161369193152E-2</v>
      </c>
      <c r="G25" s="7">
        <f t="shared" si="2"/>
        <v>0.15737322712259569</v>
      </c>
      <c r="H25" s="7">
        <f t="shared" si="2"/>
        <v>8.2781456953642377E-2</v>
      </c>
      <c r="I25" s="7">
        <f t="shared" si="2"/>
        <v>2.032520325203252E-2</v>
      </c>
      <c r="J25" s="7">
        <f t="shared" si="2"/>
        <v>1.2173484475110894</v>
      </c>
      <c r="K25" s="7">
        <f t="shared" si="2"/>
        <v>2.6602819898909284E-2</v>
      </c>
      <c r="L25" s="7">
        <f t="shared" si="2"/>
        <v>6.8214610805630927E-3</v>
      </c>
      <c r="M25" s="7">
        <f t="shared" si="2"/>
        <v>0</v>
      </c>
      <c r="N25" s="8">
        <f>D25*$N$6/100000</f>
        <v>22.874411268187831</v>
      </c>
    </row>
    <row r="26" spans="1:14" x14ac:dyDescent="0.25">
      <c r="M26" s="1"/>
      <c r="N26" s="27">
        <f>N23*D19</f>
        <v>28.792696820436504</v>
      </c>
    </row>
    <row r="28" spans="1:14" x14ac:dyDescent="0.25">
      <c r="A28" s="10" t="s">
        <v>74</v>
      </c>
    </row>
    <row r="31" spans="1:14" x14ac:dyDescent="0.25">
      <c r="A31" t="s">
        <v>48</v>
      </c>
      <c r="B31" s="7">
        <f>B23*$K$6/100000</f>
        <v>21349.155528171232</v>
      </c>
      <c r="C31" s="7">
        <f t="shared" ref="C31:M31" si="3">C23*$K$6/100000</f>
        <v>245.75796529968454</v>
      </c>
      <c r="D31" s="7">
        <f t="shared" si="3"/>
        <v>19581.854166666664</v>
      </c>
      <c r="E31" s="7">
        <f t="shared" si="3"/>
        <v>9005.1654522074587</v>
      </c>
      <c r="F31" s="7">
        <f t="shared" si="3"/>
        <v>406.22933985330076</v>
      </c>
      <c r="G31" s="7">
        <f t="shared" si="3"/>
        <v>6076.3318437925018</v>
      </c>
      <c r="H31" s="7">
        <f t="shared" si="3"/>
        <v>1105.5216736905479</v>
      </c>
      <c r="I31" s="7">
        <f t="shared" si="3"/>
        <v>632.61219512195123</v>
      </c>
      <c r="J31" s="7">
        <f t="shared" si="3"/>
        <v>7488.8209709216371</v>
      </c>
      <c r="K31" s="7">
        <f t="shared" si="3"/>
        <v>690</v>
      </c>
      <c r="L31" s="7">
        <f t="shared" si="3"/>
        <v>548.73606511930461</v>
      </c>
      <c r="M31" s="7">
        <f t="shared" si="3"/>
        <v>1385.5699658703074</v>
      </c>
    </row>
    <row r="32" spans="1:14" x14ac:dyDescent="0.25">
      <c r="B32" s="7"/>
      <c r="C32" s="7"/>
      <c r="D32" s="7"/>
      <c r="E32" s="7"/>
      <c r="F32" s="7"/>
      <c r="G32" s="7"/>
      <c r="H32" s="7"/>
      <c r="I32" s="7"/>
      <c r="J32" s="7"/>
      <c r="K32" s="7"/>
      <c r="L32" s="7"/>
      <c r="M32" s="7"/>
    </row>
    <row r="33" spans="1:13" x14ac:dyDescent="0.25">
      <c r="A33" t="s">
        <v>49</v>
      </c>
      <c r="B33" s="7">
        <f>B25*$K$6/100000</f>
        <v>850.3762699285129</v>
      </c>
      <c r="C33" s="7">
        <f t="shared" ref="C33:M33" si="4">C25*$K$6/100000</f>
        <v>8.300630914826499</v>
      </c>
      <c r="D33" s="7">
        <f t="shared" si="4"/>
        <v>1555.6840277777776</v>
      </c>
      <c r="E33" s="7">
        <f t="shared" si="4"/>
        <v>395.55700814402053</v>
      </c>
      <c r="F33" s="7">
        <f t="shared" si="4"/>
        <v>6.6632640586797054</v>
      </c>
      <c r="G33" s="7">
        <f t="shared" si="4"/>
        <v>59.156596075383725</v>
      </c>
      <c r="H33" s="7">
        <f t="shared" si="4"/>
        <v>31.117549668874169</v>
      </c>
      <c r="I33" s="7">
        <f t="shared" si="4"/>
        <v>7.6402439024390247</v>
      </c>
      <c r="J33" s="7">
        <f t="shared" si="4"/>
        <v>457.60128141941851</v>
      </c>
      <c r="K33" s="7">
        <f t="shared" si="4"/>
        <v>10</v>
      </c>
      <c r="L33" s="7">
        <f t="shared" si="4"/>
        <v>2.5641872201836664</v>
      </c>
      <c r="M33" s="7">
        <f t="shared" si="4"/>
        <v>0</v>
      </c>
    </row>
    <row r="35" spans="1:13" x14ac:dyDescent="0.25">
      <c r="A35" t="s">
        <v>48</v>
      </c>
      <c r="B35" t="s">
        <v>75</v>
      </c>
    </row>
    <row r="36" spans="1:13" x14ac:dyDescent="0.25">
      <c r="A36" t="s">
        <v>50</v>
      </c>
      <c r="B36" s="7">
        <f>MIN($B$31:$L$31)</f>
        <v>245.75796529968454</v>
      </c>
      <c r="C36" s="7"/>
    </row>
    <row r="37" spans="1:13" x14ac:dyDescent="0.25">
      <c r="A37" t="s">
        <v>51</v>
      </c>
      <c r="B37" s="7">
        <f>MAX(B31:L31)</f>
        <v>21349.155528171232</v>
      </c>
      <c r="C37">
        <f>B37*1.6%</f>
        <v>341.58648845073969</v>
      </c>
      <c r="D37" t="s">
        <v>78</v>
      </c>
    </row>
    <row r="39" spans="1:13" x14ac:dyDescent="0.25">
      <c r="A39" t="s">
        <v>49</v>
      </c>
    </row>
    <row r="40" spans="1:13" x14ac:dyDescent="0.25">
      <c r="A40" t="s">
        <v>50</v>
      </c>
      <c r="B40" s="7">
        <f>MIN(B33:L33)</f>
        <v>2.5641872201836664</v>
      </c>
    </row>
    <row r="41" spans="1:13" x14ac:dyDescent="0.25">
      <c r="A41" t="s">
        <v>51</v>
      </c>
      <c r="B41" s="7">
        <f>MAX($B$33:$L$33)</f>
        <v>1555.6840277777776</v>
      </c>
      <c r="C41">
        <f>B41*1.6%</f>
        <v>24.890944444444443</v>
      </c>
      <c r="D41" t="s">
        <v>78</v>
      </c>
    </row>
    <row r="42" spans="1:13" x14ac:dyDescent="0.25">
      <c r="B42" s="7"/>
    </row>
    <row r="43" spans="1:13" x14ac:dyDescent="0.25">
      <c r="A43" t="s">
        <v>63</v>
      </c>
      <c r="B43" s="7" t="s">
        <v>65</v>
      </c>
      <c r="C43" t="s">
        <v>66</v>
      </c>
    </row>
    <row r="44" spans="1:13" x14ac:dyDescent="0.25">
      <c r="A44" t="s">
        <v>50</v>
      </c>
      <c r="B44" s="7">
        <f>B18*K9</f>
        <v>103.5</v>
      </c>
      <c r="C44" s="7">
        <f>B36*B18</f>
        <v>36.863694794952679</v>
      </c>
    </row>
    <row r="45" spans="1:13" x14ac:dyDescent="0.25">
      <c r="A45" t="s">
        <v>51</v>
      </c>
      <c r="B45" s="7">
        <f>K9*D18</f>
        <v>386.40000000000003</v>
      </c>
      <c r="C45" s="7">
        <f>B37*D18</f>
        <v>11955.527095775891</v>
      </c>
      <c r="D45">
        <f>C45*1.6%</f>
        <v>191.28843353241427</v>
      </c>
      <c r="E45" t="s">
        <v>78</v>
      </c>
    </row>
    <row r="46" spans="1:13" x14ac:dyDescent="0.25">
      <c r="B46" s="7"/>
    </row>
    <row r="47" spans="1:13" x14ac:dyDescent="0.25">
      <c r="A47" t="s">
        <v>64</v>
      </c>
      <c r="B47" s="7" t="s">
        <v>77</v>
      </c>
      <c r="C47" t="s">
        <v>76</v>
      </c>
    </row>
    <row r="48" spans="1:13" x14ac:dyDescent="0.25">
      <c r="A48" t="s">
        <v>50</v>
      </c>
      <c r="B48" s="7"/>
    </row>
    <row r="49" spans="1:13" x14ac:dyDescent="0.25">
      <c r="A49" t="s">
        <v>51</v>
      </c>
      <c r="B49" s="7">
        <f>K9*D19</f>
        <v>69</v>
      </c>
      <c r="C49" s="7">
        <f>B37*D19</f>
        <v>2134.9155528171232</v>
      </c>
      <c r="D49">
        <f>C49*1.6%</f>
        <v>34.158648845073969</v>
      </c>
      <c r="E49" t="s">
        <v>78</v>
      </c>
    </row>
    <row r="52" spans="1:13" x14ac:dyDescent="0.25">
      <c r="A52" s="10" t="s">
        <v>47</v>
      </c>
    </row>
    <row r="54" spans="1:13" x14ac:dyDescent="0.25">
      <c r="A54" t="s">
        <v>48</v>
      </c>
      <c r="B54" s="7">
        <f>B23*$L$6/100000</f>
        <v>8325.8957692808581</v>
      </c>
      <c r="C54" s="7">
        <f t="shared" ref="C54:L54" si="5">C23*$L$6/100000</f>
        <v>95.842442145110425</v>
      </c>
      <c r="D54" s="7">
        <f t="shared" si="5"/>
        <v>7636.6709936507932</v>
      </c>
      <c r="E54" s="7">
        <f t="shared" si="5"/>
        <v>3511.8985779682807</v>
      </c>
      <c r="F54" s="7">
        <f t="shared" si="5"/>
        <v>158.42421202933986</v>
      </c>
      <c r="G54" s="7">
        <f t="shared" si="5"/>
        <v>2369.6911816592192</v>
      </c>
      <c r="H54" s="7">
        <f t="shared" si="5"/>
        <v>431.13921830222756</v>
      </c>
      <c r="I54" s="7">
        <f t="shared" si="5"/>
        <v>246.71061073170733</v>
      </c>
      <c r="J54" s="7"/>
      <c r="K54" s="7">
        <f t="shared" si="5"/>
        <v>269.09111572226658</v>
      </c>
      <c r="L54" s="7">
        <f t="shared" si="5"/>
        <v>214</v>
      </c>
      <c r="M54" s="7"/>
    </row>
    <row r="55" spans="1:13" x14ac:dyDescent="0.25">
      <c r="B55" s="7"/>
      <c r="C55" s="7"/>
      <c r="D55" s="7"/>
      <c r="E55" s="7"/>
      <c r="F55" s="7"/>
      <c r="G55" s="7"/>
      <c r="H55" s="7"/>
      <c r="I55" s="7"/>
      <c r="J55" s="7"/>
      <c r="K55" s="7"/>
      <c r="L55" s="7"/>
      <c r="M55" s="7"/>
    </row>
    <row r="56" spans="1:13" x14ac:dyDescent="0.25">
      <c r="A56" t="s">
        <v>49</v>
      </c>
      <c r="B56" s="7">
        <f t="shared" ref="B56:L56" si="6">B25*$L$6/100000</f>
        <v>331.63579602725054</v>
      </c>
      <c r="C56" s="7">
        <f t="shared" si="6"/>
        <v>3.2371391798107254</v>
      </c>
      <c r="D56" s="7">
        <f t="shared" si="6"/>
        <v>606.69674021164019</v>
      </c>
      <c r="E56" s="7">
        <f t="shared" si="6"/>
        <v>154.26214007715384</v>
      </c>
      <c r="F56" s="7">
        <f t="shared" si="6"/>
        <v>2.5985871882640583</v>
      </c>
      <c r="G56" s="7">
        <f t="shared" si="6"/>
        <v>23.070310782980378</v>
      </c>
      <c r="H56" s="7">
        <f t="shared" si="6"/>
        <v>12.135443708609271</v>
      </c>
      <c r="I56" s="7">
        <f t="shared" si="6"/>
        <v>2.9795967479674799</v>
      </c>
      <c r="J56" s="7"/>
      <c r="K56" s="7">
        <f t="shared" si="6"/>
        <v>3.899871242351689</v>
      </c>
      <c r="L56" s="7">
        <f t="shared" si="6"/>
        <v>1</v>
      </c>
      <c r="M56" s="7"/>
    </row>
    <row r="58" spans="1:13" x14ac:dyDescent="0.25">
      <c r="A58" t="s">
        <v>48</v>
      </c>
    </row>
    <row r="59" spans="1:13" x14ac:dyDescent="0.25">
      <c r="A59" t="s">
        <v>50</v>
      </c>
      <c r="B59" s="7">
        <f>MIN($B$54:$L$54)</f>
        <v>95.842442145110425</v>
      </c>
    </row>
    <row r="60" spans="1:13" x14ac:dyDescent="0.25">
      <c r="A60" t="s">
        <v>51</v>
      </c>
      <c r="B60" s="7">
        <f>MAX($B$54:$L$54)</f>
        <v>8325.8957692808581</v>
      </c>
    </row>
    <row r="62" spans="1:13" x14ac:dyDescent="0.25">
      <c r="A62" t="s">
        <v>49</v>
      </c>
    </row>
    <row r="63" spans="1:13" x14ac:dyDescent="0.25">
      <c r="A63" t="s">
        <v>50</v>
      </c>
      <c r="B63" s="7">
        <f>MIN($B$56:$L$56)</f>
        <v>1</v>
      </c>
    </row>
    <row r="64" spans="1:13" x14ac:dyDescent="0.25">
      <c r="A64" t="s">
        <v>51</v>
      </c>
      <c r="B64" s="7">
        <f>MAX($B$56:$L$56)</f>
        <v>606.69674021164019</v>
      </c>
    </row>
    <row r="65" spans="1:13" x14ac:dyDescent="0.25">
      <c r="B65" s="7"/>
    </row>
    <row r="66" spans="1:13" x14ac:dyDescent="0.25">
      <c r="A66" t="s">
        <v>63</v>
      </c>
      <c r="B66" s="7" t="s">
        <v>77</v>
      </c>
      <c r="C66" t="s">
        <v>76</v>
      </c>
    </row>
    <row r="67" spans="1:13" x14ac:dyDescent="0.25">
      <c r="A67" t="s">
        <v>50</v>
      </c>
      <c r="B67" s="7">
        <f>B18*L9</f>
        <v>32.1</v>
      </c>
    </row>
    <row r="68" spans="1:13" x14ac:dyDescent="0.25">
      <c r="A68" t="s">
        <v>51</v>
      </c>
      <c r="B68" s="7">
        <f>D18*L9</f>
        <v>119.84000000000002</v>
      </c>
      <c r="C68" s="7">
        <f>B60*D18</f>
        <v>4662.501630797281</v>
      </c>
    </row>
    <row r="69" spans="1:13" x14ac:dyDescent="0.25">
      <c r="B69" s="7"/>
    </row>
    <row r="70" spans="1:13" x14ac:dyDescent="0.25">
      <c r="A70" t="s">
        <v>64</v>
      </c>
      <c r="B70" s="7" t="s">
        <v>77</v>
      </c>
      <c r="C70" t="s">
        <v>76</v>
      </c>
    </row>
    <row r="71" spans="1:13" x14ac:dyDescent="0.25">
      <c r="A71" t="s">
        <v>50</v>
      </c>
      <c r="B71" s="7">
        <f>B19*L9</f>
        <v>10.700000000000001</v>
      </c>
    </row>
    <row r="72" spans="1:13" x14ac:dyDescent="0.25">
      <c r="A72" t="s">
        <v>51</v>
      </c>
      <c r="B72">
        <f>D19*L9</f>
        <v>21.400000000000002</v>
      </c>
      <c r="C72" s="7">
        <f>B60*D19</f>
        <v>832.58957692808588</v>
      </c>
    </row>
    <row r="74" spans="1:13" x14ac:dyDescent="0.25">
      <c r="A74" s="10" t="s">
        <v>52</v>
      </c>
    </row>
    <row r="76" spans="1:13" x14ac:dyDescent="0.25">
      <c r="A76" t="s">
        <v>48</v>
      </c>
      <c r="B76" s="7">
        <f>B23*$N$6/100000</f>
        <v>313.91295086925777</v>
      </c>
      <c r="C76" s="7">
        <f t="shared" ref="C76:L78" si="7">C23*$N$6/100000</f>
        <v>3.61356719637224</v>
      </c>
      <c r="D76" s="7">
        <f t="shared" si="7"/>
        <v>287.92696820436504</v>
      </c>
      <c r="E76" s="7">
        <f t="shared" si="7"/>
        <v>132.40983028289756</v>
      </c>
      <c r="F76" s="7">
        <f t="shared" si="7"/>
        <v>5.9731004645476773</v>
      </c>
      <c r="G76" s="7">
        <f t="shared" si="7"/>
        <v>89.344951233728395</v>
      </c>
      <c r="H76" s="7">
        <f t="shared" si="7"/>
        <v>16.255330117399158</v>
      </c>
      <c r="I76" s="7">
        <f t="shared" si="7"/>
        <v>9.3017806097560989</v>
      </c>
      <c r="J76" s="7"/>
      <c r="K76" s="7">
        <f t="shared" si="7"/>
        <v>10.14559736632083</v>
      </c>
      <c r="L76" s="7">
        <f t="shared" si="7"/>
        <v>8.068485763883583</v>
      </c>
      <c r="M76" s="7"/>
    </row>
    <row r="77" spans="1:13" x14ac:dyDescent="0.25">
      <c r="B77" s="7"/>
      <c r="C77" s="7"/>
      <c r="D77" s="7"/>
      <c r="E77" s="7"/>
      <c r="F77" s="7"/>
      <c r="G77" s="7"/>
      <c r="H77" s="7"/>
      <c r="I77" s="7"/>
      <c r="J77" s="7"/>
      <c r="K77" s="7"/>
      <c r="L77" s="7"/>
      <c r="M77" s="7"/>
    </row>
    <row r="78" spans="1:13" x14ac:dyDescent="0.25">
      <c r="A78" t="s">
        <v>49</v>
      </c>
      <c r="B78" s="7">
        <f>B25*$N$6/100000</f>
        <v>12.503732238505004</v>
      </c>
      <c r="C78" s="7">
        <f t="shared" si="7"/>
        <v>0.12205052050473186</v>
      </c>
      <c r="D78" s="7">
        <f t="shared" si="7"/>
        <v>22.874411268187831</v>
      </c>
      <c r="E78" s="7">
        <f t="shared" si="7"/>
        <v>5.8161770145735101</v>
      </c>
      <c r="F78" s="7">
        <f t="shared" si="7"/>
        <v>9.7975064180929092E-2</v>
      </c>
      <c r="G78" s="7">
        <f t="shared" si="7"/>
        <v>0.86982464542451909</v>
      </c>
      <c r="H78" s="7">
        <f t="shared" si="7"/>
        <v>0.45754511589403968</v>
      </c>
      <c r="I78" s="7">
        <f t="shared" si="7"/>
        <v>0.11234034552845529</v>
      </c>
      <c r="J78" s="7"/>
      <c r="K78" s="7">
        <f t="shared" si="7"/>
        <v>0.14703764299015695</v>
      </c>
      <c r="L78" s="7">
        <f t="shared" si="7"/>
        <v>3.7703204504128895E-2</v>
      </c>
      <c r="M78" s="7"/>
    </row>
    <row r="80" spans="1:13" x14ac:dyDescent="0.25">
      <c r="A80" t="s">
        <v>48</v>
      </c>
      <c r="B80" t="s">
        <v>72</v>
      </c>
      <c r="C80" t="s">
        <v>73</v>
      </c>
    </row>
    <row r="81" spans="1:3" x14ac:dyDescent="0.25">
      <c r="A81" t="s">
        <v>50</v>
      </c>
      <c r="B81" s="7">
        <f>MIN($B$76:$L$76)</f>
        <v>3.61356719637224</v>
      </c>
      <c r="C81" s="7">
        <f>MIN($C$76:$L$76)</f>
        <v>3.61356719637224</v>
      </c>
    </row>
    <row r="82" spans="1:3" x14ac:dyDescent="0.25">
      <c r="A82" t="s">
        <v>51</v>
      </c>
      <c r="B82" s="7">
        <f>MAX($B$76:$L$76)</f>
        <v>313.91295086925777</v>
      </c>
      <c r="C82" s="7">
        <f>MAX($C$76:$L$76)</f>
        <v>287.92696820436504</v>
      </c>
    </row>
    <row r="84" spans="1:3" x14ac:dyDescent="0.25">
      <c r="A84" t="s">
        <v>49</v>
      </c>
    </row>
    <row r="85" spans="1:3" x14ac:dyDescent="0.25">
      <c r="A85" t="s">
        <v>50</v>
      </c>
      <c r="B85" s="7">
        <f>MIN($B$78:$L$78)</f>
        <v>3.7703204504128895E-2</v>
      </c>
      <c r="C85" s="7">
        <f>MIN($C$78:$L$78)</f>
        <v>3.7703204504128895E-2</v>
      </c>
    </row>
    <row r="86" spans="1:3" x14ac:dyDescent="0.25">
      <c r="A86" t="s">
        <v>51</v>
      </c>
      <c r="B86" s="7">
        <f>MAX($B$78:$L$78)</f>
        <v>22.874411268187831</v>
      </c>
      <c r="C86" s="7">
        <f>MAX($C$78:$L$78)</f>
        <v>22.874411268187831</v>
      </c>
    </row>
    <row r="88" spans="1:3" x14ac:dyDescent="0.25">
      <c r="A88" t="s">
        <v>27</v>
      </c>
    </row>
    <row r="89" spans="1:3" x14ac:dyDescent="0.25">
      <c r="A89" t="s">
        <v>50</v>
      </c>
    </row>
    <row r="90" spans="1:3" x14ac:dyDescent="0.25">
      <c r="A90" t="s">
        <v>51</v>
      </c>
      <c r="B90" s="7">
        <f>B82*$D$18</f>
        <v>175.79125248678437</v>
      </c>
      <c r="C90" s="7">
        <f>C82*$D$18</f>
        <v>161.23910219444443</v>
      </c>
    </row>
    <row r="91" spans="1:3" x14ac:dyDescent="0.25">
      <c r="B91" s="7"/>
    </row>
    <row r="92" spans="1:3" x14ac:dyDescent="0.25">
      <c r="A92" t="s">
        <v>62</v>
      </c>
      <c r="B92" s="7"/>
    </row>
    <row r="93" spans="1:3" x14ac:dyDescent="0.25">
      <c r="A93" t="s">
        <v>50</v>
      </c>
      <c r="B93" s="7"/>
    </row>
    <row r="94" spans="1:3" x14ac:dyDescent="0.25">
      <c r="A94" t="s">
        <v>51</v>
      </c>
      <c r="B94" s="7">
        <f>B82*$D$19</f>
        <v>31.39129508692578</v>
      </c>
      <c r="C94" s="7">
        <f>C82*$D$19</f>
        <v>28.792696820436504</v>
      </c>
    </row>
  </sheetData>
  <hyperlinks>
    <hyperlink ref="D17" r:id="rId1" xr:uid="{422482BF-3F76-4F78-A280-ED8B0788CED1}"/>
    <hyperlink ref="B17" r:id="rId2" xr:uid="{F6406809-ACE6-4994-ACBE-DACA8AD5170E}"/>
    <hyperlink ref="B1" r:id="rId3" xr:uid="{5A227CF9-3000-4AD3-ABCB-B92943945909}"/>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4B32-1872-49AB-95C7-23C83834BE42}">
  <sheetPr codeName="Sheet18"/>
  <dimension ref="A1:N94"/>
  <sheetViews>
    <sheetView workbookViewId="0">
      <selection activeCell="B4" sqref="B4:M4"/>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0" width="12.140625" customWidth="1"/>
    <col min="11" max="13" width="12.140625" bestFit="1" customWidth="1"/>
  </cols>
  <sheetData>
    <row r="1" spans="1:14" x14ac:dyDescent="0.25">
      <c r="A1" t="s">
        <v>38</v>
      </c>
      <c r="B1" s="11" t="s">
        <v>89</v>
      </c>
    </row>
    <row r="2" spans="1:14" x14ac:dyDescent="0.25">
      <c r="B2" t="s">
        <v>56</v>
      </c>
      <c r="C2" t="s">
        <v>43</v>
      </c>
      <c r="D2" t="s">
        <v>28</v>
      </c>
      <c r="E2" t="s">
        <v>44</v>
      </c>
      <c r="F2" t="s">
        <v>29</v>
      </c>
      <c r="G2" t="s">
        <v>39</v>
      </c>
      <c r="H2" t="s">
        <v>30</v>
      </c>
      <c r="I2" t="s">
        <v>40</v>
      </c>
      <c r="J2" t="s">
        <v>79</v>
      </c>
      <c r="K2" t="s">
        <v>45</v>
      </c>
      <c r="L2" t="s">
        <v>17</v>
      </c>
      <c r="M2" t="s">
        <v>16</v>
      </c>
    </row>
    <row r="3" spans="1:14" x14ac:dyDescent="0.25">
      <c r="A3" t="s">
        <v>71</v>
      </c>
      <c r="B3" s="26">
        <v>43786</v>
      </c>
      <c r="C3" s="26">
        <v>43481</v>
      </c>
      <c r="D3" s="26">
        <v>43496</v>
      </c>
      <c r="E3" s="26">
        <v>43496</v>
      </c>
      <c r="F3" s="26">
        <v>43486</v>
      </c>
      <c r="G3" s="26">
        <v>43485</v>
      </c>
      <c r="H3" s="26">
        <v>43496</v>
      </c>
      <c r="I3" s="26">
        <v>43490</v>
      </c>
      <c r="J3" s="26">
        <v>43515</v>
      </c>
      <c r="K3" s="26">
        <v>43490</v>
      </c>
      <c r="L3" s="26">
        <v>43490</v>
      </c>
      <c r="M3" s="26">
        <v>43529</v>
      </c>
    </row>
    <row r="4" spans="1:14" x14ac:dyDescent="0.25">
      <c r="A4" t="s">
        <v>70</v>
      </c>
      <c r="B4">
        <v>122</v>
      </c>
      <c r="C4">
        <v>62</v>
      </c>
      <c r="D4">
        <v>47</v>
      </c>
      <c r="E4">
        <v>47</v>
      </c>
      <c r="F4">
        <v>57</v>
      </c>
      <c r="G4">
        <v>57</v>
      </c>
      <c r="H4">
        <v>47</v>
      </c>
      <c r="I4">
        <v>53</v>
      </c>
      <c r="J4">
        <v>28</v>
      </c>
      <c r="K4">
        <v>53</v>
      </c>
      <c r="L4">
        <v>53</v>
      </c>
      <c r="M4">
        <v>13</v>
      </c>
    </row>
    <row r="5" spans="1:14" x14ac:dyDescent="0.25">
      <c r="A5" t="s">
        <v>33</v>
      </c>
    </row>
    <row r="6" spans="1:14" x14ac:dyDescent="0.25">
      <c r="A6" t="s">
        <v>32</v>
      </c>
      <c r="B6" s="7">
        <v>142823000</v>
      </c>
      <c r="C6" s="7">
        <v>126800000</v>
      </c>
      <c r="D6" s="7">
        <v>60480000</v>
      </c>
      <c r="E6" s="7">
        <v>46660000</v>
      </c>
      <c r="F6" s="7">
        <v>327200000</v>
      </c>
      <c r="G6" s="7">
        <v>51470000</v>
      </c>
      <c r="H6" s="7">
        <v>66440000</v>
      </c>
      <c r="I6" s="7">
        <v>24600000</v>
      </c>
      <c r="J6" s="7">
        <v>81160000</v>
      </c>
      <c r="K6" s="7">
        <v>37590000</v>
      </c>
      <c r="L6" s="7">
        <v>14659616</v>
      </c>
      <c r="M6" s="7">
        <v>552714.5</v>
      </c>
    </row>
    <row r="7" spans="1:14" x14ac:dyDescent="0.25">
      <c r="A7" t="s">
        <v>55</v>
      </c>
      <c r="B7" s="4">
        <v>0.11</v>
      </c>
      <c r="C7" s="4">
        <v>0.28000000000000003</v>
      </c>
      <c r="D7" s="4">
        <v>0.23</v>
      </c>
      <c r="E7" s="4">
        <v>0.19</v>
      </c>
      <c r="F7" s="4">
        <v>0.16</v>
      </c>
      <c r="G7" s="4">
        <v>0.14000000000000001</v>
      </c>
      <c r="H7" s="4">
        <v>0.18</v>
      </c>
      <c r="I7" s="4">
        <v>0.16</v>
      </c>
      <c r="J7" s="4">
        <v>6.2E-2</v>
      </c>
      <c r="K7" s="4">
        <v>0.17</v>
      </c>
      <c r="L7" s="4">
        <v>0.17</v>
      </c>
      <c r="M7" s="4">
        <v>0.14000000000000001</v>
      </c>
    </row>
    <row r="9" spans="1:14" x14ac:dyDescent="0.25">
      <c r="A9" t="s">
        <v>31</v>
      </c>
      <c r="B9" s="30">
        <v>81116</v>
      </c>
      <c r="C9" s="30">
        <v>829</v>
      </c>
      <c r="D9" s="30">
        <v>27980</v>
      </c>
      <c r="E9" s="30">
        <v>9191</v>
      </c>
      <c r="F9" s="30">
        <v>3503</v>
      </c>
      <c r="G9" s="30">
        <v>8320</v>
      </c>
      <c r="H9" s="30">
        <v>1547</v>
      </c>
      <c r="I9" s="30">
        <v>375</v>
      </c>
      <c r="J9" s="30">
        <v>14991</v>
      </c>
      <c r="K9" s="30">
        <v>569</v>
      </c>
      <c r="L9" s="30">
        <v>189</v>
      </c>
      <c r="M9" s="30">
        <v>10</v>
      </c>
      <c r="N9" s="1"/>
    </row>
    <row r="10" spans="1:14" x14ac:dyDescent="0.25">
      <c r="A10" t="s">
        <v>34</v>
      </c>
      <c r="B10" s="30"/>
      <c r="C10" s="30"/>
      <c r="D10" s="30"/>
      <c r="E10" s="30"/>
      <c r="F10" s="30"/>
      <c r="G10" s="30"/>
      <c r="H10" s="30"/>
      <c r="I10" s="30"/>
      <c r="J10" s="30"/>
      <c r="K10" s="30"/>
      <c r="L10" s="30"/>
      <c r="M10" s="30"/>
    </row>
    <row r="11" spans="1:14" x14ac:dyDescent="0.25">
      <c r="A11" t="s">
        <v>35</v>
      </c>
      <c r="B11" s="30">
        <v>3231</v>
      </c>
      <c r="C11" s="30">
        <v>28</v>
      </c>
      <c r="D11" s="30">
        <v>2503</v>
      </c>
      <c r="E11" s="30">
        <v>309</v>
      </c>
      <c r="F11" s="30">
        <v>58</v>
      </c>
      <c r="G11" s="30">
        <v>81</v>
      </c>
      <c r="H11" s="30">
        <v>55</v>
      </c>
      <c r="I11" s="30">
        <v>5</v>
      </c>
      <c r="J11" s="30">
        <v>853</v>
      </c>
      <c r="K11" s="30">
        <v>8</v>
      </c>
      <c r="L11" s="30">
        <v>0</v>
      </c>
      <c r="M11" s="30">
        <v>0</v>
      </c>
    </row>
    <row r="13" spans="1:14" x14ac:dyDescent="0.25">
      <c r="A13" t="s">
        <v>36</v>
      </c>
    </row>
    <row r="14" spans="1:14" x14ac:dyDescent="0.25">
      <c r="A14" t="s">
        <v>34</v>
      </c>
    </row>
    <row r="15" spans="1:14" x14ac:dyDescent="0.25">
      <c r="A15" t="s">
        <v>35</v>
      </c>
      <c r="B15" s="1">
        <f>B11/B9</f>
        <v>3.9831845751762907E-2</v>
      </c>
      <c r="C15" s="1">
        <f t="shared" ref="C15:M15" si="0">C11/C9</f>
        <v>3.3775633293124246E-2</v>
      </c>
      <c r="D15" s="1">
        <f t="shared" si="0"/>
        <v>8.9456754824874904E-2</v>
      </c>
      <c r="E15" s="1">
        <f t="shared" si="0"/>
        <v>3.361984550103362E-2</v>
      </c>
      <c r="F15" s="1">
        <f t="shared" si="0"/>
        <v>1.6557236654296318E-2</v>
      </c>
      <c r="G15" s="1">
        <f t="shared" si="0"/>
        <v>9.7355769230769232E-3</v>
      </c>
      <c r="H15" s="1">
        <f t="shared" si="0"/>
        <v>3.555268261150614E-2</v>
      </c>
      <c r="I15" s="1">
        <f t="shared" si="0"/>
        <v>1.3333333333333334E-2</v>
      </c>
      <c r="J15" s="1">
        <f t="shared" si="0"/>
        <v>5.6900807150957244E-2</v>
      </c>
      <c r="K15" s="1">
        <f t="shared" si="0"/>
        <v>1.4059753954305799E-2</v>
      </c>
      <c r="L15" s="1">
        <f t="shared" si="0"/>
        <v>0</v>
      </c>
      <c r="M15" s="1">
        <f t="shared" si="0"/>
        <v>0</v>
      </c>
    </row>
    <row r="16" spans="1:14" x14ac:dyDescent="0.25">
      <c r="B16" s="1"/>
      <c r="C16" s="1"/>
      <c r="D16" s="1"/>
      <c r="E16" s="1"/>
      <c r="F16" s="1"/>
      <c r="G16" s="1"/>
      <c r="H16" s="1"/>
      <c r="I16" s="1"/>
      <c r="J16" s="1"/>
      <c r="K16" s="1"/>
      <c r="L16" s="1"/>
    </row>
    <row r="17" spans="1:13" x14ac:dyDescent="0.25">
      <c r="B17" s="11" t="s">
        <v>61</v>
      </c>
      <c r="C17" s="1"/>
      <c r="D17" s="11" t="s">
        <v>60</v>
      </c>
      <c r="E17" s="1"/>
      <c r="F17" s="1"/>
      <c r="G17" s="1"/>
      <c r="H17" s="1"/>
      <c r="I17" s="1"/>
      <c r="J17" s="1"/>
      <c r="K17" s="1"/>
      <c r="L17" s="1"/>
    </row>
    <row r="18" spans="1:13" x14ac:dyDescent="0.25">
      <c r="A18" t="s">
        <v>58</v>
      </c>
      <c r="B18" s="1">
        <v>0.15</v>
      </c>
      <c r="C18" s="1"/>
      <c r="D18" s="1">
        <v>0.56000000000000005</v>
      </c>
      <c r="E18" s="1"/>
      <c r="F18" s="1"/>
      <c r="G18" s="1"/>
      <c r="H18" s="1"/>
      <c r="I18" s="1"/>
      <c r="J18" s="1"/>
      <c r="K18" s="1">
        <v>0.13</v>
      </c>
      <c r="L18" s="1"/>
    </row>
    <row r="19" spans="1:13" x14ac:dyDescent="0.25">
      <c r="A19" t="s">
        <v>59</v>
      </c>
      <c r="B19" s="1">
        <v>0.05</v>
      </c>
      <c r="C19" s="1"/>
      <c r="D19" s="1">
        <v>0.1</v>
      </c>
      <c r="E19" s="1"/>
      <c r="F19" s="1"/>
      <c r="G19" s="1"/>
      <c r="H19" s="1"/>
      <c r="I19" s="1"/>
      <c r="J19" s="1"/>
      <c r="K19" s="1"/>
      <c r="L19" s="1"/>
    </row>
    <row r="20" spans="1:13" x14ac:dyDescent="0.25">
      <c r="B20" s="1"/>
      <c r="C20" s="1"/>
      <c r="D20" s="1"/>
      <c r="E20" s="1"/>
      <c r="F20" s="1"/>
      <c r="G20" s="1"/>
      <c r="H20" s="1"/>
      <c r="I20" s="1"/>
      <c r="J20" s="1"/>
      <c r="K20" s="1"/>
      <c r="L20" s="1"/>
    </row>
    <row r="22" spans="1:13" x14ac:dyDescent="0.25">
      <c r="A22" t="s">
        <v>42</v>
      </c>
    </row>
    <row r="23" spans="1:13" x14ac:dyDescent="0.25">
      <c r="A23" t="s">
        <v>41</v>
      </c>
      <c r="B23" s="7">
        <f t="shared" ref="B23:L23" si="1">B9/B6*100000</f>
        <v>56.794773950974282</v>
      </c>
      <c r="C23" s="7">
        <f t="shared" si="1"/>
        <v>0.65378548895899058</v>
      </c>
      <c r="D23" s="7">
        <f t="shared" si="1"/>
        <v>46.263227513227513</v>
      </c>
      <c r="E23" s="7">
        <f t="shared" si="1"/>
        <v>19.697813973424775</v>
      </c>
      <c r="F23" s="7">
        <f t="shared" si="1"/>
        <v>1.07059902200489</v>
      </c>
      <c r="G23" s="7">
        <f t="shared" si="1"/>
        <v>16.164756168641929</v>
      </c>
      <c r="H23" s="7">
        <f t="shared" si="1"/>
        <v>2.3284166164960864</v>
      </c>
      <c r="I23" s="7">
        <f t="shared" si="1"/>
        <v>1.524390243902439</v>
      </c>
      <c r="J23" s="7">
        <f t="shared" si="1"/>
        <v>18.470921636274028</v>
      </c>
      <c r="K23" s="7">
        <f t="shared" si="1"/>
        <v>1.5137004522479383</v>
      </c>
      <c r="L23" s="7">
        <f t="shared" si="1"/>
        <v>1.2892561442264245</v>
      </c>
      <c r="M23" s="8">
        <f>D23*$M$6/100000</f>
        <v>255.70356663359786</v>
      </c>
    </row>
    <row r="24" spans="1:13" x14ac:dyDescent="0.25">
      <c r="A24" t="s">
        <v>34</v>
      </c>
      <c r="M24" s="27">
        <f>M23*D18</f>
        <v>143.19399731481482</v>
      </c>
    </row>
    <row r="25" spans="1:13" x14ac:dyDescent="0.25">
      <c r="A25" t="s">
        <v>35</v>
      </c>
      <c r="B25" s="7">
        <f>B11/B6*100000</f>
        <v>2.2622406755214497</v>
      </c>
      <c r="C25" s="7">
        <f t="shared" ref="C25:L25" si="2">C11/C6*100000</f>
        <v>2.2082018927444796E-2</v>
      </c>
      <c r="D25" s="7">
        <f t="shared" si="2"/>
        <v>4.1385582010582009</v>
      </c>
      <c r="E25" s="7">
        <f t="shared" si="2"/>
        <v>0.6622374624946421</v>
      </c>
      <c r="F25" s="7">
        <f t="shared" si="2"/>
        <v>1.7726161369193152E-2</v>
      </c>
      <c r="G25" s="7">
        <f t="shared" si="2"/>
        <v>0.15737322712259569</v>
      </c>
      <c r="H25" s="7">
        <f t="shared" si="2"/>
        <v>8.2781456953642377E-2</v>
      </c>
      <c r="I25" s="7">
        <f t="shared" si="2"/>
        <v>2.032520325203252E-2</v>
      </c>
      <c r="J25" s="7">
        <f t="shared" si="2"/>
        <v>1.0510103499260719</v>
      </c>
      <c r="K25" s="7">
        <f t="shared" si="2"/>
        <v>2.1282255919127427E-2</v>
      </c>
      <c r="L25" s="7">
        <f t="shared" si="2"/>
        <v>0</v>
      </c>
      <c r="M25" s="8">
        <f>D25*$M$6/100000</f>
        <v>22.874411268187831</v>
      </c>
    </row>
    <row r="26" spans="1:13" x14ac:dyDescent="0.25">
      <c r="M26" s="27">
        <f>M23*D19</f>
        <v>25.570356663359789</v>
      </c>
    </row>
    <row r="28" spans="1:13" x14ac:dyDescent="0.25">
      <c r="A28" s="10" t="s">
        <v>74</v>
      </c>
    </row>
    <row r="31" spans="1:13" x14ac:dyDescent="0.25">
      <c r="A31" t="s">
        <v>48</v>
      </c>
      <c r="B31" s="7">
        <f>B23*$K$6/100000</f>
        <v>21349.155528171232</v>
      </c>
      <c r="C31" s="7">
        <f t="shared" ref="C31:L31" si="3">C23*$K$6/100000</f>
        <v>245.75796529968454</v>
      </c>
      <c r="D31" s="7">
        <f t="shared" si="3"/>
        <v>17390.347222222223</v>
      </c>
      <c r="E31" s="7">
        <f t="shared" si="3"/>
        <v>7404.4082726103734</v>
      </c>
      <c r="F31" s="7">
        <f t="shared" si="3"/>
        <v>402.43817237163813</v>
      </c>
      <c r="G31" s="7">
        <f t="shared" si="3"/>
        <v>6076.3318437925018</v>
      </c>
      <c r="H31" s="7">
        <f t="shared" si="3"/>
        <v>875.2518061408789</v>
      </c>
      <c r="I31" s="7">
        <f t="shared" si="3"/>
        <v>573.01829268292681</v>
      </c>
      <c r="J31" s="7"/>
      <c r="K31" s="7">
        <f t="shared" si="3"/>
        <v>569</v>
      </c>
      <c r="L31" s="7">
        <f t="shared" si="3"/>
        <v>484.63138461471294</v>
      </c>
    </row>
    <row r="32" spans="1:13" x14ac:dyDescent="0.25">
      <c r="B32" s="7"/>
      <c r="C32" s="7"/>
      <c r="D32" s="7"/>
      <c r="E32" s="7"/>
      <c r="F32" s="7"/>
      <c r="G32" s="7"/>
      <c r="H32" s="7"/>
      <c r="I32" s="7"/>
      <c r="J32" s="7"/>
      <c r="K32" s="7"/>
      <c r="L32" s="7"/>
    </row>
    <row r="33" spans="1:12" x14ac:dyDescent="0.25">
      <c r="A33" t="s">
        <v>49</v>
      </c>
      <c r="B33" s="7">
        <f>B25*$K$6/100000</f>
        <v>850.3762699285129</v>
      </c>
      <c r="C33" s="7">
        <f t="shared" ref="C33:L33" si="4">C25*$K$6/100000</f>
        <v>8.300630914826499</v>
      </c>
      <c r="D33" s="7">
        <f t="shared" si="4"/>
        <v>1555.6840277777776</v>
      </c>
      <c r="E33" s="7">
        <f t="shared" si="4"/>
        <v>248.93506215173599</v>
      </c>
      <c r="F33" s="7">
        <f t="shared" si="4"/>
        <v>6.6632640586797054</v>
      </c>
      <c r="G33" s="7">
        <f t="shared" si="4"/>
        <v>59.156596075383725</v>
      </c>
      <c r="H33" s="7">
        <f t="shared" si="4"/>
        <v>31.117549668874169</v>
      </c>
      <c r="I33" s="7">
        <f t="shared" si="4"/>
        <v>7.6402439024390247</v>
      </c>
      <c r="J33" s="7"/>
      <c r="K33" s="7">
        <f t="shared" si="4"/>
        <v>8</v>
      </c>
      <c r="L33" s="7">
        <f t="shared" si="4"/>
        <v>0</v>
      </c>
    </row>
    <row r="35" spans="1:12" x14ac:dyDescent="0.25">
      <c r="A35" t="s">
        <v>48</v>
      </c>
      <c r="B35" t="s">
        <v>75</v>
      </c>
    </row>
    <row r="36" spans="1:12" x14ac:dyDescent="0.25">
      <c r="A36" t="s">
        <v>50</v>
      </c>
      <c r="B36" s="7">
        <f>MIN($B$31:$L$31)</f>
        <v>245.75796529968454</v>
      </c>
      <c r="C36" s="7"/>
    </row>
    <row r="37" spans="1:12" x14ac:dyDescent="0.25">
      <c r="A37" t="s">
        <v>51</v>
      </c>
      <c r="B37" s="7">
        <f>MAX(B31:L31)</f>
        <v>21349.155528171232</v>
      </c>
      <c r="C37">
        <f>B37*1.6%</f>
        <v>341.58648845073969</v>
      </c>
      <c r="D37" t="s">
        <v>78</v>
      </c>
    </row>
    <row r="39" spans="1:12" x14ac:dyDescent="0.25">
      <c r="A39" t="s">
        <v>49</v>
      </c>
    </row>
    <row r="40" spans="1:12" x14ac:dyDescent="0.25">
      <c r="A40" t="s">
        <v>50</v>
      </c>
      <c r="B40" s="7">
        <f>MIN(B33:L33)</f>
        <v>0</v>
      </c>
    </row>
    <row r="41" spans="1:12" x14ac:dyDescent="0.25">
      <c r="A41" t="s">
        <v>51</v>
      </c>
      <c r="B41" s="7">
        <f>MAX($B$33:$L$33)</f>
        <v>1555.6840277777776</v>
      </c>
      <c r="C41">
        <f>B41*1.6%</f>
        <v>24.890944444444443</v>
      </c>
      <c r="D41" t="s">
        <v>78</v>
      </c>
    </row>
    <row r="42" spans="1:12" x14ac:dyDescent="0.25">
      <c r="B42" s="7"/>
    </row>
    <row r="43" spans="1:12" x14ac:dyDescent="0.25">
      <c r="A43" t="s">
        <v>63</v>
      </c>
      <c r="B43" s="7" t="s">
        <v>65</v>
      </c>
      <c r="C43" t="s">
        <v>66</v>
      </c>
    </row>
    <row r="44" spans="1:12" x14ac:dyDescent="0.25">
      <c r="A44" t="s">
        <v>50</v>
      </c>
      <c r="B44" s="7">
        <f>B18*K9</f>
        <v>85.35</v>
      </c>
      <c r="C44" s="7">
        <f>B36*B18</f>
        <v>36.863694794952679</v>
      </c>
    </row>
    <row r="45" spans="1:12" x14ac:dyDescent="0.25">
      <c r="A45" t="s">
        <v>51</v>
      </c>
      <c r="B45" s="7">
        <f>K9*D18</f>
        <v>318.64000000000004</v>
      </c>
      <c r="C45" s="7">
        <f>B37*D18</f>
        <v>11955.527095775891</v>
      </c>
      <c r="D45">
        <f>C45*1.6%</f>
        <v>191.28843353241427</v>
      </c>
      <c r="E45" t="s">
        <v>78</v>
      </c>
    </row>
    <row r="46" spans="1:12" x14ac:dyDescent="0.25">
      <c r="B46" s="7"/>
    </row>
    <row r="47" spans="1:12" x14ac:dyDescent="0.25">
      <c r="A47" t="s">
        <v>64</v>
      </c>
      <c r="B47" s="7" t="s">
        <v>77</v>
      </c>
      <c r="C47" t="s">
        <v>76</v>
      </c>
    </row>
    <row r="48" spans="1:12" x14ac:dyDescent="0.25">
      <c r="A48" t="s">
        <v>50</v>
      </c>
      <c r="B48" s="7"/>
    </row>
    <row r="49" spans="1:12" x14ac:dyDescent="0.25">
      <c r="A49" t="s">
        <v>51</v>
      </c>
      <c r="B49" s="7">
        <f>K9*D19</f>
        <v>56.900000000000006</v>
      </c>
      <c r="C49" s="7">
        <f>B37*D19</f>
        <v>2134.9155528171232</v>
      </c>
      <c r="D49">
        <f>C49*1.6%</f>
        <v>34.158648845073969</v>
      </c>
      <c r="E49" t="s">
        <v>78</v>
      </c>
    </row>
    <row r="52" spans="1:12" x14ac:dyDescent="0.25">
      <c r="A52" s="10" t="s">
        <v>47</v>
      </c>
    </row>
    <row r="54" spans="1:12" x14ac:dyDescent="0.25">
      <c r="A54" t="s">
        <v>48</v>
      </c>
      <c r="B54" s="7">
        <f>B23*$L$6/100000</f>
        <v>8325.8957692808581</v>
      </c>
      <c r="C54" s="7">
        <f t="shared" ref="C54:L54" si="5">C23*$L$6/100000</f>
        <v>95.842442145110425</v>
      </c>
      <c r="D54" s="7">
        <f t="shared" si="5"/>
        <v>6782.0115026455023</v>
      </c>
      <c r="E54" s="7">
        <f t="shared" si="5"/>
        <v>2887.6238888984144</v>
      </c>
      <c r="F54" s="7">
        <f t="shared" si="5"/>
        <v>156.94570552567237</v>
      </c>
      <c r="G54" s="7">
        <f t="shared" si="5"/>
        <v>2369.6911816592192</v>
      </c>
      <c r="H54" s="7">
        <f t="shared" si="5"/>
        <v>341.33693485851893</v>
      </c>
      <c r="I54" s="7">
        <f t="shared" si="5"/>
        <v>223.46975609756097</v>
      </c>
      <c r="J54" s="7"/>
      <c r="K54" s="7">
        <f t="shared" si="5"/>
        <v>221.90267368981111</v>
      </c>
      <c r="L54" s="7">
        <f t="shared" si="5"/>
        <v>189</v>
      </c>
    </row>
    <row r="55" spans="1:12" x14ac:dyDescent="0.25">
      <c r="B55" s="7"/>
      <c r="C55" s="7"/>
      <c r="D55" s="7"/>
      <c r="E55" s="7"/>
      <c r="F55" s="7"/>
      <c r="G55" s="7"/>
      <c r="H55" s="7"/>
      <c r="I55" s="7"/>
      <c r="J55" s="7"/>
      <c r="K55" s="7"/>
      <c r="L55" s="7"/>
    </row>
    <row r="56" spans="1:12" x14ac:dyDescent="0.25">
      <c r="A56" t="s">
        <v>49</v>
      </c>
      <c r="B56" s="7">
        <f t="shared" ref="B56:L56" si="6">B25*$L$6/100000</f>
        <v>331.63579602725054</v>
      </c>
      <c r="C56" s="7">
        <f t="shared" si="6"/>
        <v>3.2371391798107254</v>
      </c>
      <c r="D56" s="7">
        <f t="shared" si="6"/>
        <v>606.69674021164019</v>
      </c>
      <c r="E56" s="7">
        <f t="shared" si="6"/>
        <v>97.081469009858552</v>
      </c>
      <c r="F56" s="7">
        <f t="shared" si="6"/>
        <v>2.5985871882640583</v>
      </c>
      <c r="G56" s="7">
        <f t="shared" si="6"/>
        <v>23.070310782980378</v>
      </c>
      <c r="H56" s="7">
        <f t="shared" si="6"/>
        <v>12.135443708609271</v>
      </c>
      <c r="I56" s="7">
        <f t="shared" si="6"/>
        <v>2.9795967479674799</v>
      </c>
      <c r="J56" s="7"/>
      <c r="K56" s="7">
        <f t="shared" si="6"/>
        <v>3.1198969938813512</v>
      </c>
      <c r="L56" s="7">
        <f t="shared" si="6"/>
        <v>0</v>
      </c>
    </row>
    <row r="58" spans="1:12" x14ac:dyDescent="0.25">
      <c r="A58" t="s">
        <v>48</v>
      </c>
    </row>
    <row r="59" spans="1:12" x14ac:dyDescent="0.25">
      <c r="A59" t="s">
        <v>50</v>
      </c>
      <c r="B59" s="7">
        <f>MIN($B$54:$L$54)</f>
        <v>95.842442145110425</v>
      </c>
    </row>
    <row r="60" spans="1:12" x14ac:dyDescent="0.25">
      <c r="A60" t="s">
        <v>51</v>
      </c>
      <c r="B60" s="7">
        <f>MAX($B$54:$L$54)</f>
        <v>8325.8957692808581</v>
      </c>
    </row>
    <row r="62" spans="1:12" x14ac:dyDescent="0.25">
      <c r="A62" t="s">
        <v>49</v>
      </c>
    </row>
    <row r="63" spans="1:12" x14ac:dyDescent="0.25">
      <c r="A63" t="s">
        <v>50</v>
      </c>
      <c r="B63" s="7">
        <f>MIN($B$56:$L$56)</f>
        <v>0</v>
      </c>
    </row>
    <row r="64" spans="1:12" x14ac:dyDescent="0.25">
      <c r="A64" t="s">
        <v>51</v>
      </c>
      <c r="B64" s="7">
        <f>MAX($B$56:$L$56)</f>
        <v>606.69674021164019</v>
      </c>
    </row>
    <row r="65" spans="1:12" x14ac:dyDescent="0.25">
      <c r="B65" s="7"/>
    </row>
    <row r="66" spans="1:12" x14ac:dyDescent="0.25">
      <c r="A66" t="s">
        <v>63</v>
      </c>
      <c r="B66" s="7" t="s">
        <v>77</v>
      </c>
      <c r="C66" t="s">
        <v>76</v>
      </c>
    </row>
    <row r="67" spans="1:12" x14ac:dyDescent="0.25">
      <c r="A67" t="s">
        <v>50</v>
      </c>
      <c r="B67" s="7">
        <f>B18*L9</f>
        <v>28.349999999999998</v>
      </c>
    </row>
    <row r="68" spans="1:12" x14ac:dyDescent="0.25">
      <c r="A68" t="s">
        <v>51</v>
      </c>
      <c r="B68" s="7">
        <f>D18*L9</f>
        <v>105.84</v>
      </c>
      <c r="C68" s="7">
        <f>B60*D18</f>
        <v>4662.501630797281</v>
      </c>
    </row>
    <row r="69" spans="1:12" x14ac:dyDescent="0.25">
      <c r="B69" s="7"/>
    </row>
    <row r="70" spans="1:12" x14ac:dyDescent="0.25">
      <c r="A70" t="s">
        <v>64</v>
      </c>
      <c r="B70" s="7" t="s">
        <v>77</v>
      </c>
      <c r="C70" t="s">
        <v>76</v>
      </c>
    </row>
    <row r="71" spans="1:12" x14ac:dyDescent="0.25">
      <c r="A71" t="s">
        <v>50</v>
      </c>
      <c r="B71" s="7">
        <f>B19*L9</f>
        <v>9.4500000000000011</v>
      </c>
    </row>
    <row r="72" spans="1:12" x14ac:dyDescent="0.25">
      <c r="A72" t="s">
        <v>51</v>
      </c>
      <c r="B72">
        <f>D19*L9</f>
        <v>18.900000000000002</v>
      </c>
      <c r="C72" s="7">
        <f>B60*D19</f>
        <v>832.58957692808588</v>
      </c>
    </row>
    <row r="74" spans="1:12" x14ac:dyDescent="0.25">
      <c r="A74" s="10" t="s">
        <v>52</v>
      </c>
    </row>
    <row r="76" spans="1:12" x14ac:dyDescent="0.25">
      <c r="A76" t="s">
        <v>48</v>
      </c>
      <c r="B76" s="7">
        <f>B23*$M$6/100000</f>
        <v>313.91295086925777</v>
      </c>
      <c r="C76" s="7">
        <f t="shared" ref="C76:L78" si="7">C23*$M$6/100000</f>
        <v>3.61356719637224</v>
      </c>
      <c r="D76" s="7">
        <f t="shared" si="7"/>
        <v>255.70356663359786</v>
      </c>
      <c r="E76" s="7">
        <f t="shared" si="7"/>
        <v>108.87267401414488</v>
      </c>
      <c r="F76" s="7">
        <f t="shared" si="7"/>
        <v>5.9173560314792173</v>
      </c>
      <c r="G76" s="7">
        <f t="shared" si="7"/>
        <v>89.344951233728395</v>
      </c>
      <c r="H76" s="7">
        <f t="shared" si="7"/>
        <v>12.869496259783261</v>
      </c>
      <c r="I76" s="7">
        <f t="shared" si="7"/>
        <v>8.4255259146341466</v>
      </c>
      <c r="J76" s="7"/>
      <c r="K76" s="7">
        <f t="shared" si="7"/>
        <v>8.3664418861399312</v>
      </c>
      <c r="L76" s="7">
        <f t="shared" si="7"/>
        <v>7.1259056512803607</v>
      </c>
    </row>
    <row r="77" spans="1:12" x14ac:dyDescent="0.25">
      <c r="B77" s="7"/>
      <c r="C77" s="7"/>
      <c r="D77" s="7"/>
      <c r="E77" s="7"/>
      <c r="F77" s="7"/>
      <c r="G77" s="7"/>
      <c r="H77" s="7"/>
      <c r="I77" s="7"/>
      <c r="J77" s="7"/>
      <c r="K77" s="7"/>
      <c r="L77" s="7"/>
    </row>
    <row r="78" spans="1:12" x14ac:dyDescent="0.25">
      <c r="A78" t="s">
        <v>49</v>
      </c>
      <c r="B78" s="7">
        <f>B25*$M$6/100000</f>
        <v>12.503732238505004</v>
      </c>
      <c r="C78" s="7">
        <f t="shared" si="7"/>
        <v>0.12205052050473186</v>
      </c>
      <c r="D78" s="7">
        <f t="shared" si="7"/>
        <v>22.874411268187831</v>
      </c>
      <c r="E78" s="7">
        <f t="shared" si="7"/>
        <v>3.6602824796399487</v>
      </c>
      <c r="F78" s="7">
        <f t="shared" si="7"/>
        <v>9.7975064180929092E-2</v>
      </c>
      <c r="G78" s="7">
        <f t="shared" si="7"/>
        <v>0.86982464542451909</v>
      </c>
      <c r="H78" s="7">
        <f t="shared" si="7"/>
        <v>0.45754511589403968</v>
      </c>
      <c r="I78" s="7">
        <f t="shared" si="7"/>
        <v>0.11234034552845529</v>
      </c>
      <c r="J78" s="7"/>
      <c r="K78" s="7">
        <f t="shared" si="7"/>
        <v>0.11763011439212556</v>
      </c>
      <c r="L78" s="7">
        <f t="shared" si="7"/>
        <v>0</v>
      </c>
    </row>
    <row r="80" spans="1:12" x14ac:dyDescent="0.25">
      <c r="A80" t="s">
        <v>48</v>
      </c>
      <c r="B80" t="s">
        <v>72</v>
      </c>
      <c r="C80" t="s">
        <v>73</v>
      </c>
    </row>
    <row r="81" spans="1:3" x14ac:dyDescent="0.25">
      <c r="A81" t="s">
        <v>50</v>
      </c>
      <c r="B81" s="7">
        <f>MIN($B$76:$L$76)</f>
        <v>3.61356719637224</v>
      </c>
      <c r="C81" s="7">
        <f>MIN($C$76:$L$76)</f>
        <v>3.61356719637224</v>
      </c>
    </row>
    <row r="82" spans="1:3" x14ac:dyDescent="0.25">
      <c r="A82" t="s">
        <v>51</v>
      </c>
      <c r="B82" s="7">
        <f>MAX($B$76:$L$76)</f>
        <v>313.91295086925777</v>
      </c>
      <c r="C82" s="7">
        <f>MAX($C$76:$L$76)</f>
        <v>255.70356663359786</v>
      </c>
    </row>
    <row r="84" spans="1:3" x14ac:dyDescent="0.25">
      <c r="A84" t="s">
        <v>49</v>
      </c>
    </row>
    <row r="85" spans="1:3" x14ac:dyDescent="0.25">
      <c r="A85" t="s">
        <v>50</v>
      </c>
      <c r="B85" s="7">
        <f>MIN($B$78:$L$78)</f>
        <v>0</v>
      </c>
      <c r="C85" s="7">
        <f>MIN($C$78:$L$78)</f>
        <v>0</v>
      </c>
    </row>
    <row r="86" spans="1:3" x14ac:dyDescent="0.25">
      <c r="A86" t="s">
        <v>51</v>
      </c>
      <c r="B86" s="7">
        <f>MAX($B$78:$L$78)</f>
        <v>22.874411268187831</v>
      </c>
      <c r="C86" s="7">
        <f>MAX($C$78:$L$78)</f>
        <v>22.874411268187831</v>
      </c>
    </row>
    <row r="88" spans="1:3" x14ac:dyDescent="0.25">
      <c r="A88" t="s">
        <v>27</v>
      </c>
    </row>
    <row r="89" spans="1:3" x14ac:dyDescent="0.25">
      <c r="A89" t="s">
        <v>50</v>
      </c>
    </row>
    <row r="90" spans="1:3" x14ac:dyDescent="0.25">
      <c r="A90" t="s">
        <v>51</v>
      </c>
      <c r="B90" s="7">
        <f>B82*$D$18</f>
        <v>175.79125248678437</v>
      </c>
      <c r="C90" s="7">
        <f>C82*$D$18</f>
        <v>143.19399731481482</v>
      </c>
    </row>
    <row r="91" spans="1:3" x14ac:dyDescent="0.25">
      <c r="B91" s="7"/>
    </row>
    <row r="92" spans="1:3" x14ac:dyDescent="0.25">
      <c r="A92" t="s">
        <v>62</v>
      </c>
      <c r="B92" s="7"/>
    </row>
    <row r="93" spans="1:3" x14ac:dyDescent="0.25">
      <c r="A93" t="s">
        <v>50</v>
      </c>
      <c r="B93" s="7"/>
    </row>
    <row r="94" spans="1:3" x14ac:dyDescent="0.25">
      <c r="A94" t="s">
        <v>51</v>
      </c>
      <c r="B94" s="7">
        <f>B82*$D$19</f>
        <v>31.39129508692578</v>
      </c>
      <c r="C94" s="7">
        <f>C82*$D$19</f>
        <v>25.570356663359789</v>
      </c>
    </row>
  </sheetData>
  <hyperlinks>
    <hyperlink ref="D17" r:id="rId1" xr:uid="{A586763F-AAC6-434E-8DD0-D05DEDAB8BB2}"/>
    <hyperlink ref="B17" r:id="rId2" xr:uid="{3DFA933F-8039-49BC-8F22-9A9BB0F6A65F}"/>
    <hyperlink ref="B1" r:id="rId3" xr:uid="{92665DA0-B5FC-42E5-9E5B-E68B1705FA0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DDAD-8E7D-4457-AA5D-04BCA44051EE}">
  <sheetPr codeName="Sheet19"/>
  <dimension ref="A1:N94"/>
  <sheetViews>
    <sheetView topLeftCell="A16" workbookViewId="0">
      <selection activeCell="B1" sqref="B1"/>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0" width="12.140625" customWidth="1"/>
    <col min="11" max="13" width="12.140625" bestFit="1" customWidth="1"/>
  </cols>
  <sheetData>
    <row r="1" spans="1:14" x14ac:dyDescent="0.25">
      <c r="A1" t="s">
        <v>38</v>
      </c>
      <c r="B1" s="11" t="s">
        <v>89</v>
      </c>
      <c r="L1" t="s">
        <v>46</v>
      </c>
    </row>
    <row r="2" spans="1:14" x14ac:dyDescent="0.25">
      <c r="B2" t="s">
        <v>56</v>
      </c>
      <c r="C2" t="s">
        <v>43</v>
      </c>
      <c r="D2" t="s">
        <v>28</v>
      </c>
      <c r="E2" t="s">
        <v>44</v>
      </c>
      <c r="F2" t="s">
        <v>29</v>
      </c>
      <c r="G2" t="s">
        <v>39</v>
      </c>
      <c r="H2" t="s">
        <v>30</v>
      </c>
      <c r="I2" t="s">
        <v>40</v>
      </c>
      <c r="J2" t="s">
        <v>79</v>
      </c>
      <c r="K2" t="s">
        <v>45</v>
      </c>
      <c r="L2" t="s">
        <v>17</v>
      </c>
      <c r="M2" t="s">
        <v>16</v>
      </c>
    </row>
    <row r="3" spans="1:14" x14ac:dyDescent="0.25">
      <c r="A3" t="s">
        <v>71</v>
      </c>
      <c r="B3" s="26">
        <v>43786</v>
      </c>
      <c r="C3" s="26">
        <v>43481</v>
      </c>
      <c r="D3" s="26">
        <v>43496</v>
      </c>
      <c r="E3" s="26">
        <v>43496</v>
      </c>
      <c r="F3" s="26">
        <v>43486</v>
      </c>
      <c r="G3" s="26">
        <v>43485</v>
      </c>
      <c r="H3" s="26">
        <v>43496</v>
      </c>
      <c r="I3" s="26">
        <v>43490</v>
      </c>
      <c r="J3" s="26">
        <v>43515</v>
      </c>
      <c r="K3" s="26">
        <v>43490</v>
      </c>
      <c r="L3" s="26">
        <v>43490</v>
      </c>
      <c r="M3" s="26">
        <v>43529</v>
      </c>
    </row>
    <row r="4" spans="1:14" x14ac:dyDescent="0.25">
      <c r="A4" t="s">
        <v>70</v>
      </c>
      <c r="B4">
        <v>116</v>
      </c>
      <c r="C4">
        <f ca="1">TODAY()-DATE(2020,1,16)-5</f>
        <v>96</v>
      </c>
      <c r="D4">
        <f ca="1">TODAY()-DATE(2020,1,31)-5</f>
        <v>81</v>
      </c>
      <c r="E4">
        <f ca="1">TODAY()-DATE(2020,1,31)-5</f>
        <v>81</v>
      </c>
      <c r="F4">
        <f ca="1">TODAY()-DATE(2020,1,21)-5</f>
        <v>91</v>
      </c>
      <c r="G4">
        <f ca="1">TODAY()-DATE(2020,1,21)-5</f>
        <v>91</v>
      </c>
      <c r="H4">
        <f ca="1">TODAY()-DATE(2020,1,31)-5</f>
        <v>81</v>
      </c>
      <c r="I4">
        <f ca="1">TODAY()-DATE(2020,1,25)-5</f>
        <v>87</v>
      </c>
      <c r="J4">
        <f ca="1">TODAY()-DATE(2020,2,19)-5</f>
        <v>62</v>
      </c>
      <c r="K4">
        <f ca="1">TODAY()-DATE(2020,1,25)-5</f>
        <v>87</v>
      </c>
      <c r="L4">
        <f ca="1">TODAY()-DATE(2020,1,25)-5</f>
        <v>87</v>
      </c>
      <c r="M4">
        <f ca="1">TODAY()-DATE(2020,3,5)-5</f>
        <v>47</v>
      </c>
    </row>
    <row r="5" spans="1:14" x14ac:dyDescent="0.25">
      <c r="A5" t="s">
        <v>33</v>
      </c>
    </row>
    <row r="6" spans="1:14" x14ac:dyDescent="0.25">
      <c r="A6" t="s">
        <v>32</v>
      </c>
      <c r="B6" s="7">
        <v>142823000</v>
      </c>
      <c r="C6" s="7">
        <v>126800000</v>
      </c>
      <c r="D6" s="7">
        <v>60480000</v>
      </c>
      <c r="E6" s="7">
        <v>46660000</v>
      </c>
      <c r="F6" s="7">
        <v>327200000</v>
      </c>
      <c r="G6" s="7">
        <v>51470000</v>
      </c>
      <c r="H6" s="7">
        <v>66440000</v>
      </c>
      <c r="I6" s="7">
        <v>24600000</v>
      </c>
      <c r="J6" s="7">
        <v>81160000</v>
      </c>
      <c r="K6" s="7">
        <v>37590000</v>
      </c>
      <c r="L6" s="7">
        <v>14659616</v>
      </c>
      <c r="M6" s="7">
        <v>552714.5</v>
      </c>
    </row>
    <row r="7" spans="1:14" x14ac:dyDescent="0.25">
      <c r="A7" t="s">
        <v>55</v>
      </c>
      <c r="B7" s="4">
        <v>0.11</v>
      </c>
      <c r="C7" s="4">
        <v>0.28000000000000003</v>
      </c>
      <c r="D7" s="4">
        <v>0.23</v>
      </c>
      <c r="E7" s="4">
        <v>0.19</v>
      </c>
      <c r="F7" s="4">
        <v>0.16</v>
      </c>
      <c r="G7" s="4">
        <v>0.14000000000000001</v>
      </c>
      <c r="H7" s="4">
        <v>0.18</v>
      </c>
      <c r="I7" s="4">
        <v>0.16</v>
      </c>
      <c r="J7" s="4">
        <v>6.2E-2</v>
      </c>
      <c r="K7" s="4">
        <v>0.17</v>
      </c>
      <c r="L7" s="4">
        <v>0.17</v>
      </c>
      <c r="M7" s="4">
        <v>0.14000000000000001</v>
      </c>
    </row>
    <row r="9" spans="1:14" x14ac:dyDescent="0.25">
      <c r="A9" t="s">
        <v>31</v>
      </c>
      <c r="B9" s="30">
        <v>80991</v>
      </c>
      <c r="C9" s="30">
        <v>675</v>
      </c>
      <c r="D9" s="30">
        <v>15113</v>
      </c>
      <c r="E9" s="30">
        <v>2965</v>
      </c>
      <c r="F9" s="30">
        <v>1264</v>
      </c>
      <c r="G9" s="30">
        <v>7979</v>
      </c>
      <c r="H9" s="30">
        <v>594</v>
      </c>
      <c r="I9" s="30">
        <v>140</v>
      </c>
      <c r="J9" s="30">
        <v>10075</v>
      </c>
      <c r="K9" s="30">
        <v>304</v>
      </c>
      <c r="L9" s="30">
        <v>142</v>
      </c>
      <c r="M9" s="30">
        <v>5</v>
      </c>
      <c r="N9" s="1"/>
    </row>
    <row r="10" spans="1:14" x14ac:dyDescent="0.25">
      <c r="A10" t="s">
        <v>34</v>
      </c>
      <c r="B10" s="30"/>
      <c r="C10" s="30"/>
      <c r="D10" s="30"/>
      <c r="E10" s="30"/>
      <c r="F10" s="30"/>
      <c r="G10" s="30"/>
      <c r="H10" s="30"/>
      <c r="I10" s="30"/>
      <c r="J10" s="30"/>
      <c r="K10" s="30"/>
      <c r="L10" s="30"/>
      <c r="M10" s="30"/>
    </row>
    <row r="11" spans="1:14" x14ac:dyDescent="0.25">
      <c r="A11" t="s">
        <v>35</v>
      </c>
      <c r="B11" s="30">
        <v>3180</v>
      </c>
      <c r="C11" s="30">
        <v>19</v>
      </c>
      <c r="D11" s="30">
        <v>1016</v>
      </c>
      <c r="E11" s="30">
        <v>84</v>
      </c>
      <c r="F11" s="30">
        <v>36</v>
      </c>
      <c r="G11" s="30">
        <v>66</v>
      </c>
      <c r="H11" s="30">
        <v>8</v>
      </c>
      <c r="I11" s="30">
        <v>3</v>
      </c>
      <c r="J11" s="30">
        <v>429</v>
      </c>
      <c r="K11" s="30">
        <v>1</v>
      </c>
      <c r="L11" s="30">
        <v>0</v>
      </c>
      <c r="M11" s="30">
        <v>0</v>
      </c>
    </row>
    <row r="13" spans="1:14" x14ac:dyDescent="0.25">
      <c r="A13" t="s">
        <v>36</v>
      </c>
    </row>
    <row r="14" spans="1:14" x14ac:dyDescent="0.25">
      <c r="A14" t="s">
        <v>34</v>
      </c>
    </row>
    <row r="15" spans="1:14" x14ac:dyDescent="0.25">
      <c r="A15" t="s">
        <v>35</v>
      </c>
      <c r="B15" s="1">
        <f>B11/B9</f>
        <v>3.9263621883913025E-2</v>
      </c>
      <c r="C15" s="1">
        <f t="shared" ref="C15:K15" si="0">C11/C9</f>
        <v>2.8148148148148148E-2</v>
      </c>
      <c r="D15" s="1">
        <f t="shared" si="0"/>
        <v>6.7226890756302518E-2</v>
      </c>
      <c r="E15" s="1">
        <f t="shared" si="0"/>
        <v>2.8330522765598651E-2</v>
      </c>
      <c r="F15" s="1">
        <f t="shared" si="0"/>
        <v>2.8481012658227847E-2</v>
      </c>
      <c r="G15" s="1">
        <f t="shared" si="0"/>
        <v>8.2717132472740953E-3</v>
      </c>
      <c r="H15" s="1">
        <f t="shared" si="0"/>
        <v>1.3468013468013467E-2</v>
      </c>
      <c r="I15" s="1">
        <f t="shared" si="0"/>
        <v>2.1428571428571429E-2</v>
      </c>
      <c r="J15" s="1">
        <f t="shared" si="0"/>
        <v>4.2580645161290322E-2</v>
      </c>
      <c r="K15" s="1">
        <f t="shared" si="0"/>
        <v>3.2894736842105261E-3</v>
      </c>
      <c r="L15" s="1">
        <f t="shared" ref="L15:M15" si="1">L11/L9</f>
        <v>0</v>
      </c>
      <c r="M15" s="1">
        <f t="shared" si="1"/>
        <v>0</v>
      </c>
    </row>
    <row r="16" spans="1:14" x14ac:dyDescent="0.25">
      <c r="B16" s="1"/>
      <c r="C16" s="1"/>
      <c r="D16" s="1"/>
      <c r="E16" s="1"/>
      <c r="F16" s="1"/>
      <c r="G16" s="1"/>
      <c r="H16" s="1"/>
      <c r="I16" s="1"/>
      <c r="J16" s="1"/>
      <c r="K16" s="1"/>
      <c r="L16" s="1"/>
    </row>
    <row r="17" spans="1:13" x14ac:dyDescent="0.25">
      <c r="B17" s="11" t="s">
        <v>61</v>
      </c>
      <c r="C17" s="1"/>
      <c r="D17" s="11" t="s">
        <v>60</v>
      </c>
      <c r="E17" s="1"/>
      <c r="F17" s="1"/>
      <c r="G17" s="1"/>
      <c r="H17" s="1"/>
      <c r="I17" s="1"/>
      <c r="J17" s="1"/>
      <c r="K17" s="1"/>
      <c r="L17" s="1"/>
    </row>
    <row r="18" spans="1:13" x14ac:dyDescent="0.25">
      <c r="A18" t="s">
        <v>58</v>
      </c>
      <c r="B18" s="1">
        <v>0.15</v>
      </c>
      <c r="C18" s="1"/>
      <c r="D18" s="1">
        <v>0.56000000000000005</v>
      </c>
      <c r="E18" s="1"/>
      <c r="F18" s="1"/>
      <c r="G18" s="1"/>
      <c r="H18" s="1"/>
      <c r="I18" s="1"/>
      <c r="J18" s="1"/>
      <c r="K18" s="1">
        <v>0.13</v>
      </c>
      <c r="L18" s="1"/>
    </row>
    <row r="19" spans="1:13" x14ac:dyDescent="0.25">
      <c r="A19" t="s">
        <v>59</v>
      </c>
      <c r="B19" s="1">
        <v>0.05</v>
      </c>
      <c r="C19" s="1"/>
      <c r="D19" s="1">
        <v>0.1</v>
      </c>
      <c r="E19" s="1"/>
      <c r="F19" s="1"/>
      <c r="G19" s="1"/>
      <c r="H19" s="1"/>
      <c r="I19" s="1"/>
      <c r="J19" s="1"/>
      <c r="K19" s="1"/>
      <c r="L19" s="1"/>
    </row>
    <row r="20" spans="1:13" x14ac:dyDescent="0.25">
      <c r="B20" s="1"/>
      <c r="C20" s="1"/>
      <c r="D20" s="1"/>
      <c r="E20" s="1"/>
      <c r="F20" s="1"/>
      <c r="G20" s="1"/>
      <c r="H20" s="1"/>
      <c r="I20" s="1"/>
      <c r="J20" s="1"/>
      <c r="K20" s="1"/>
      <c r="L20" s="1"/>
    </row>
    <row r="22" spans="1:13" x14ac:dyDescent="0.25">
      <c r="A22" t="s">
        <v>42</v>
      </c>
    </row>
    <row r="23" spans="1:13" x14ac:dyDescent="0.25">
      <c r="A23" t="s">
        <v>41</v>
      </c>
      <c r="B23" s="7">
        <f t="shared" ref="B23:K23" si="2">B9/B6*100000</f>
        <v>56.707253033475006</v>
      </c>
      <c r="C23" s="7">
        <f t="shared" si="2"/>
        <v>0.53233438485804419</v>
      </c>
      <c r="D23" s="7">
        <f t="shared" si="2"/>
        <v>24.988425925925927</v>
      </c>
      <c r="E23" s="7">
        <f t="shared" si="2"/>
        <v>6.354479211315903</v>
      </c>
      <c r="F23" s="7">
        <f t="shared" si="2"/>
        <v>0.38630806845965771</v>
      </c>
      <c r="G23" s="7">
        <f t="shared" si="2"/>
        <v>15.50223431124927</v>
      </c>
      <c r="H23" s="7">
        <f t="shared" si="2"/>
        <v>0.89403973509933776</v>
      </c>
      <c r="I23" s="7">
        <f t="shared" si="2"/>
        <v>0.56910569105691056</v>
      </c>
      <c r="J23" s="7">
        <f t="shared" si="2"/>
        <v>12.413750616067029</v>
      </c>
      <c r="K23" s="7">
        <f t="shared" si="2"/>
        <v>0.80872572492684225</v>
      </c>
      <c r="L23" s="7">
        <f t="shared" ref="L23" si="3">L9/L6*100000</f>
        <v>0.96864747343995916</v>
      </c>
      <c r="M23" s="8">
        <f>D23*$M$6/100000</f>
        <v>138.11465341435186</v>
      </c>
    </row>
    <row r="24" spans="1:13" x14ac:dyDescent="0.25">
      <c r="A24" t="s">
        <v>34</v>
      </c>
      <c r="M24" s="27">
        <f>M23*D18</f>
        <v>77.344205912037054</v>
      </c>
    </row>
    <row r="25" spans="1:13" x14ac:dyDescent="0.25">
      <c r="A25" t="s">
        <v>35</v>
      </c>
      <c r="B25" s="7">
        <f>B11/B6*100000</f>
        <v>2.2265321411817425</v>
      </c>
      <c r="C25" s="7">
        <f t="shared" ref="C25:K25" si="4">C11/C6*100000</f>
        <v>1.498422712933754E-2</v>
      </c>
      <c r="D25" s="7">
        <f t="shared" si="4"/>
        <v>1.67989417989418</v>
      </c>
      <c r="E25" s="7">
        <f t="shared" si="4"/>
        <v>0.18002571795970854</v>
      </c>
      <c r="F25" s="7">
        <f t="shared" si="4"/>
        <v>1.1002444987775062E-2</v>
      </c>
      <c r="G25" s="7">
        <f t="shared" si="4"/>
        <v>0.12823003691470761</v>
      </c>
      <c r="H25" s="7">
        <f t="shared" si="4"/>
        <v>1.2040939193257074E-2</v>
      </c>
      <c r="I25" s="7">
        <f t="shared" si="4"/>
        <v>1.2195121951219511E-2</v>
      </c>
      <c r="J25" s="7">
        <f t="shared" si="4"/>
        <v>0.5285855101034993</v>
      </c>
      <c r="K25" s="7">
        <f t="shared" si="4"/>
        <v>2.6602819898909284E-3</v>
      </c>
      <c r="L25" s="7">
        <f t="shared" ref="L25" si="5">L11/L6*100000</f>
        <v>0</v>
      </c>
      <c r="M25" s="8">
        <f>D25*$M$6/100000</f>
        <v>9.2850187169312175</v>
      </c>
    </row>
    <row r="26" spans="1:13" x14ac:dyDescent="0.25">
      <c r="M26" s="27">
        <f>M23*D19</f>
        <v>13.811465341435188</v>
      </c>
    </row>
    <row r="28" spans="1:13" x14ac:dyDescent="0.25">
      <c r="A28" s="10" t="s">
        <v>74</v>
      </c>
    </row>
    <row r="31" spans="1:13" x14ac:dyDescent="0.25">
      <c r="A31" t="s">
        <v>48</v>
      </c>
      <c r="B31" s="7">
        <f>B23*$K$6/100000</f>
        <v>21316.256415283257</v>
      </c>
      <c r="C31" s="7">
        <f t="shared" ref="C31:L31" si="6">C23*$K$6/100000</f>
        <v>200.10449526813881</v>
      </c>
      <c r="D31" s="7">
        <f t="shared" si="6"/>
        <v>9393.1493055555566</v>
      </c>
      <c r="E31" s="7">
        <f t="shared" si="6"/>
        <v>2388.6487355336481</v>
      </c>
      <c r="F31" s="7">
        <f t="shared" si="6"/>
        <v>145.21320293398534</v>
      </c>
      <c r="G31" s="7">
        <f t="shared" si="6"/>
        <v>5827.2898775986005</v>
      </c>
      <c r="H31" s="7">
        <f t="shared" si="6"/>
        <v>336.06953642384104</v>
      </c>
      <c r="I31" s="7">
        <f t="shared" si="6"/>
        <v>213.92682926829266</v>
      </c>
      <c r="J31" s="7"/>
      <c r="K31" s="7">
        <f t="shared" si="6"/>
        <v>304</v>
      </c>
      <c r="L31" s="7">
        <f t="shared" si="6"/>
        <v>364.11458526608067</v>
      </c>
    </row>
    <row r="32" spans="1:13" x14ac:dyDescent="0.25">
      <c r="B32" s="7"/>
      <c r="C32" s="7"/>
      <c r="D32" s="7"/>
      <c r="E32" s="7"/>
      <c r="F32" s="7"/>
      <c r="G32" s="7"/>
      <c r="H32" s="7"/>
      <c r="I32" s="7"/>
      <c r="J32" s="7"/>
      <c r="K32" s="7"/>
      <c r="L32" s="7"/>
    </row>
    <row r="33" spans="1:12" x14ac:dyDescent="0.25">
      <c r="A33" t="s">
        <v>49</v>
      </c>
      <c r="B33" s="7">
        <f>B25*$K$6/100000</f>
        <v>836.95343187021706</v>
      </c>
      <c r="C33" s="7">
        <f t="shared" ref="C33:L33" si="7">C25*$K$6/100000</f>
        <v>5.6325709779179816</v>
      </c>
      <c r="D33" s="7">
        <f t="shared" si="7"/>
        <v>631.47222222222229</v>
      </c>
      <c r="E33" s="7">
        <f t="shared" si="7"/>
        <v>67.671667381054448</v>
      </c>
      <c r="F33" s="7">
        <f t="shared" si="7"/>
        <v>4.1358190709046454</v>
      </c>
      <c r="G33" s="7">
        <f t="shared" si="7"/>
        <v>48.201670876238587</v>
      </c>
      <c r="H33" s="7">
        <f t="shared" si="7"/>
        <v>4.526189042745334</v>
      </c>
      <c r="I33" s="7">
        <f t="shared" si="7"/>
        <v>4.5841463414634145</v>
      </c>
      <c r="J33" s="7"/>
      <c r="K33" s="7">
        <f t="shared" si="7"/>
        <v>1</v>
      </c>
      <c r="L33" s="7">
        <f t="shared" si="7"/>
        <v>0</v>
      </c>
    </row>
    <row r="35" spans="1:12" x14ac:dyDescent="0.25">
      <c r="A35" t="s">
        <v>48</v>
      </c>
      <c r="B35" t="s">
        <v>75</v>
      </c>
    </row>
    <row r="36" spans="1:12" x14ac:dyDescent="0.25">
      <c r="A36" t="s">
        <v>50</v>
      </c>
      <c r="B36" s="7">
        <f>MIN($B$31:$L$31)</f>
        <v>145.21320293398534</v>
      </c>
      <c r="C36" s="7"/>
    </row>
    <row r="37" spans="1:12" x14ac:dyDescent="0.25">
      <c r="A37" t="s">
        <v>51</v>
      </c>
      <c r="B37" s="7">
        <f>MAX(B31:L31)</f>
        <v>21316.256415283257</v>
      </c>
      <c r="C37">
        <f>B37*1.6%</f>
        <v>341.06010264453209</v>
      </c>
      <c r="D37" t="s">
        <v>78</v>
      </c>
    </row>
    <row r="39" spans="1:12" x14ac:dyDescent="0.25">
      <c r="A39" t="s">
        <v>49</v>
      </c>
    </row>
    <row r="40" spans="1:12" x14ac:dyDescent="0.25">
      <c r="A40" t="s">
        <v>50</v>
      </c>
      <c r="B40" s="7">
        <f>MIN(B33:L33)</f>
        <v>0</v>
      </c>
    </row>
    <row r="41" spans="1:12" x14ac:dyDescent="0.25">
      <c r="A41" t="s">
        <v>51</v>
      </c>
      <c r="B41" s="7">
        <f>MAX($B$33:$L$33)</f>
        <v>836.95343187021706</v>
      </c>
      <c r="C41">
        <f>B41*1.6%</f>
        <v>13.391254909923473</v>
      </c>
      <c r="D41" t="s">
        <v>78</v>
      </c>
    </row>
    <row r="42" spans="1:12" x14ac:dyDescent="0.25">
      <c r="B42" s="7"/>
    </row>
    <row r="43" spans="1:12" x14ac:dyDescent="0.25">
      <c r="A43" t="s">
        <v>63</v>
      </c>
      <c r="B43" s="7" t="s">
        <v>65</v>
      </c>
      <c r="C43" t="s">
        <v>66</v>
      </c>
    </row>
    <row r="44" spans="1:12" x14ac:dyDescent="0.25">
      <c r="A44" t="s">
        <v>50</v>
      </c>
      <c r="B44" s="7">
        <f>B18*K9</f>
        <v>45.6</v>
      </c>
      <c r="C44" s="7">
        <f>B36*B18</f>
        <v>21.781980440097801</v>
      </c>
    </row>
    <row r="45" spans="1:12" x14ac:dyDescent="0.25">
      <c r="A45" t="s">
        <v>51</v>
      </c>
      <c r="B45" s="7">
        <f>K9*D18</f>
        <v>170.24</v>
      </c>
      <c r="C45" s="7">
        <f>B37*D18</f>
        <v>11937.103592558626</v>
      </c>
      <c r="D45">
        <f>C45*1.6%</f>
        <v>190.99365748093803</v>
      </c>
      <c r="E45" t="s">
        <v>78</v>
      </c>
    </row>
    <row r="46" spans="1:12" x14ac:dyDescent="0.25">
      <c r="B46" s="7"/>
    </row>
    <row r="47" spans="1:12" x14ac:dyDescent="0.25">
      <c r="A47" t="s">
        <v>64</v>
      </c>
      <c r="B47" s="7" t="s">
        <v>77</v>
      </c>
      <c r="C47" t="s">
        <v>76</v>
      </c>
    </row>
    <row r="48" spans="1:12" x14ac:dyDescent="0.25">
      <c r="A48" t="s">
        <v>50</v>
      </c>
      <c r="B48" s="7"/>
    </row>
    <row r="49" spans="1:12" x14ac:dyDescent="0.25">
      <c r="A49" t="s">
        <v>51</v>
      </c>
      <c r="B49" s="7">
        <f>K9*D19</f>
        <v>30.400000000000002</v>
      </c>
      <c r="C49" s="7">
        <f>B37*D19</f>
        <v>2131.6256415283256</v>
      </c>
      <c r="D49">
        <f>C49*1.6%</f>
        <v>34.106010264453211</v>
      </c>
      <c r="E49" t="s">
        <v>78</v>
      </c>
    </row>
    <row r="52" spans="1:12" x14ac:dyDescent="0.25">
      <c r="A52" s="10" t="s">
        <v>47</v>
      </c>
    </row>
    <row r="54" spans="1:12" x14ac:dyDescent="0.25">
      <c r="A54" t="s">
        <v>48</v>
      </c>
      <c r="B54" s="7">
        <f>B23*$L$6/100000</f>
        <v>8313.065538855788</v>
      </c>
      <c r="C54" s="7">
        <f t="shared" ref="C54:L54" si="8">C23*$L$6/100000</f>
        <v>78.038176656151421</v>
      </c>
      <c r="D54" s="7">
        <f t="shared" si="8"/>
        <v>3663.2072851851858</v>
      </c>
      <c r="E54" s="7">
        <f t="shared" si="8"/>
        <v>931.54225117874</v>
      </c>
      <c r="F54" s="7">
        <f t="shared" si="8"/>
        <v>56.631279413202932</v>
      </c>
      <c r="G54" s="7">
        <f t="shared" si="8"/>
        <v>2272.5680214493877</v>
      </c>
      <c r="H54" s="7">
        <f t="shared" si="8"/>
        <v>131.06279205298014</v>
      </c>
      <c r="I54" s="7">
        <f t="shared" si="8"/>
        <v>83.428708943089433</v>
      </c>
      <c r="J54" s="7"/>
      <c r="K54" s="7">
        <f t="shared" si="8"/>
        <v>118.55608576749135</v>
      </c>
      <c r="L54" s="7">
        <f t="shared" si="8"/>
        <v>142</v>
      </c>
    </row>
    <row r="55" spans="1:12" x14ac:dyDescent="0.25">
      <c r="B55" s="7"/>
      <c r="C55" s="7"/>
      <c r="D55" s="7"/>
      <c r="E55" s="7"/>
      <c r="F55" s="7"/>
      <c r="G55" s="7"/>
      <c r="H55" s="7"/>
      <c r="I55" s="7"/>
      <c r="J55" s="7"/>
      <c r="K55" s="7"/>
      <c r="L55" s="7"/>
    </row>
    <row r="56" spans="1:12" x14ac:dyDescent="0.25">
      <c r="A56" t="s">
        <v>49</v>
      </c>
      <c r="B56" s="7">
        <f t="shared" ref="B56:L56" si="9">B25*$L$6/100000</f>
        <v>326.40106201382133</v>
      </c>
      <c r="C56" s="7">
        <f t="shared" si="9"/>
        <v>2.1966301577287068</v>
      </c>
      <c r="D56" s="7">
        <f t="shared" si="9"/>
        <v>246.26603597883602</v>
      </c>
      <c r="E56" s="7">
        <f t="shared" si="9"/>
        <v>26.391078954136308</v>
      </c>
      <c r="F56" s="7">
        <f t="shared" si="9"/>
        <v>1.612916185819071</v>
      </c>
      <c r="G56" s="7">
        <f t="shared" si="9"/>
        <v>18.798031008354382</v>
      </c>
      <c r="H56" s="7">
        <f t="shared" si="9"/>
        <v>1.7651554485249847</v>
      </c>
      <c r="I56" s="7">
        <f t="shared" si="9"/>
        <v>1.7877580487804878</v>
      </c>
      <c r="J56" s="7"/>
      <c r="K56" s="7">
        <f t="shared" si="9"/>
        <v>0.3899871242351689</v>
      </c>
      <c r="L56" s="7">
        <f t="shared" si="9"/>
        <v>0</v>
      </c>
    </row>
    <row r="58" spans="1:12" x14ac:dyDescent="0.25">
      <c r="A58" t="s">
        <v>48</v>
      </c>
    </row>
    <row r="59" spans="1:12" x14ac:dyDescent="0.25">
      <c r="A59" t="s">
        <v>50</v>
      </c>
      <c r="B59" s="7">
        <f>MIN($B$54:$L$54)</f>
        <v>56.631279413202932</v>
      </c>
    </row>
    <row r="60" spans="1:12" x14ac:dyDescent="0.25">
      <c r="A60" t="s">
        <v>51</v>
      </c>
      <c r="B60" s="7">
        <f>MAX($B$54:$L$54)</f>
        <v>8313.065538855788</v>
      </c>
    </row>
    <row r="62" spans="1:12" x14ac:dyDescent="0.25">
      <c r="A62" t="s">
        <v>49</v>
      </c>
    </row>
    <row r="63" spans="1:12" x14ac:dyDescent="0.25">
      <c r="A63" t="s">
        <v>50</v>
      </c>
      <c r="B63" s="7">
        <f>MIN($B$56:$L$56)</f>
        <v>0</v>
      </c>
    </row>
    <row r="64" spans="1:12" x14ac:dyDescent="0.25">
      <c r="A64" t="s">
        <v>51</v>
      </c>
      <c r="B64" s="7">
        <f>MAX($B$56:$L$56)</f>
        <v>326.40106201382133</v>
      </c>
    </row>
    <row r="65" spans="1:12" x14ac:dyDescent="0.25">
      <c r="B65" s="7"/>
    </row>
    <row r="66" spans="1:12" x14ac:dyDescent="0.25">
      <c r="A66" t="s">
        <v>63</v>
      </c>
      <c r="B66" s="7" t="s">
        <v>77</v>
      </c>
      <c r="C66" t="s">
        <v>76</v>
      </c>
    </row>
    <row r="67" spans="1:12" x14ac:dyDescent="0.25">
      <c r="A67" t="s">
        <v>50</v>
      </c>
      <c r="B67" s="7">
        <f>B18*L9</f>
        <v>21.3</v>
      </c>
    </row>
    <row r="68" spans="1:12" x14ac:dyDescent="0.25">
      <c r="A68" t="s">
        <v>51</v>
      </c>
      <c r="B68" s="7">
        <f>D18*L9</f>
        <v>79.52000000000001</v>
      </c>
      <c r="C68" s="7">
        <f>B60*D18</f>
        <v>4655.3167017592414</v>
      </c>
    </row>
    <row r="69" spans="1:12" x14ac:dyDescent="0.25">
      <c r="B69" s="7"/>
    </row>
    <row r="70" spans="1:12" x14ac:dyDescent="0.25">
      <c r="A70" t="s">
        <v>64</v>
      </c>
      <c r="B70" s="7" t="s">
        <v>77</v>
      </c>
      <c r="C70" t="s">
        <v>76</v>
      </c>
    </row>
    <row r="71" spans="1:12" x14ac:dyDescent="0.25">
      <c r="A71" t="s">
        <v>50</v>
      </c>
      <c r="B71" s="7">
        <f>B19*L9</f>
        <v>7.1000000000000005</v>
      </c>
    </row>
    <row r="72" spans="1:12" x14ac:dyDescent="0.25">
      <c r="A72" t="s">
        <v>51</v>
      </c>
      <c r="B72">
        <f>D19*L9</f>
        <v>14.200000000000001</v>
      </c>
      <c r="C72" s="7">
        <f>B60*D19</f>
        <v>831.30655388557886</v>
      </c>
    </row>
    <row r="74" spans="1:12" x14ac:dyDescent="0.25">
      <c r="A74" s="10" t="s">
        <v>52</v>
      </c>
    </row>
    <row r="76" spans="1:12" x14ac:dyDescent="0.25">
      <c r="A76" t="s">
        <v>48</v>
      </c>
      <c r="B76" s="7">
        <f>B23*$M$6/100000</f>
        <v>313.42921006770621</v>
      </c>
      <c r="C76" s="7">
        <f t="shared" ref="C76:L78" si="10">C23*$M$6/100000</f>
        <v>2.9422893335962144</v>
      </c>
      <c r="D76" s="7">
        <f t="shared" si="10"/>
        <v>138.11465341435186</v>
      </c>
      <c r="E76" s="7">
        <f t="shared" si="10"/>
        <v>35.122128000428631</v>
      </c>
      <c r="F76" s="7">
        <f t="shared" si="10"/>
        <v>2.135180709046455</v>
      </c>
      <c r="G76" s="7">
        <f t="shared" si="10"/>
        <v>85.68309686224984</v>
      </c>
      <c r="H76" s="7">
        <f t="shared" si="10"/>
        <v>4.9414872516556292</v>
      </c>
      <c r="I76" s="7">
        <f t="shared" si="10"/>
        <v>3.1455296747967481</v>
      </c>
      <c r="J76" s="7"/>
      <c r="K76" s="7">
        <f t="shared" si="10"/>
        <v>4.4699443469007711</v>
      </c>
      <c r="L76" s="7">
        <f t="shared" si="10"/>
        <v>5.3538550395863025</v>
      </c>
    </row>
    <row r="77" spans="1:12" x14ac:dyDescent="0.25">
      <c r="B77" s="7"/>
      <c r="C77" s="7"/>
      <c r="D77" s="7"/>
      <c r="E77" s="7"/>
      <c r="F77" s="7"/>
      <c r="G77" s="7"/>
      <c r="H77" s="7"/>
      <c r="I77" s="7"/>
      <c r="J77" s="7"/>
      <c r="K77" s="7"/>
      <c r="L77" s="7"/>
    </row>
    <row r="78" spans="1:12" x14ac:dyDescent="0.25">
      <c r="A78" t="s">
        <v>49</v>
      </c>
      <c r="B78" s="7">
        <f>B25*$M$6/100000</f>
        <v>12.306365991471962</v>
      </c>
      <c r="C78" s="7">
        <f t="shared" si="10"/>
        <v>8.2819996056782336E-2</v>
      </c>
      <c r="D78" s="7">
        <f t="shared" si="10"/>
        <v>9.2850187169312175</v>
      </c>
      <c r="E78" s="7">
        <f t="shared" si="10"/>
        <v>0.99502824689241332</v>
      </c>
      <c r="F78" s="7">
        <f t="shared" si="10"/>
        <v>6.0812108801955991E-2</v>
      </c>
      <c r="G78" s="7">
        <f t="shared" si="10"/>
        <v>0.70874600738294158</v>
      </c>
      <c r="H78" s="7">
        <f t="shared" si="10"/>
        <v>6.6552016857314877E-2</v>
      </c>
      <c r="I78" s="7">
        <f t="shared" si="10"/>
        <v>6.7404207317073153E-2</v>
      </c>
      <c r="J78" s="7"/>
      <c r="K78" s="7">
        <f t="shared" si="10"/>
        <v>1.4703764299015695E-2</v>
      </c>
      <c r="L78" s="7">
        <f t="shared" si="10"/>
        <v>0</v>
      </c>
    </row>
    <row r="80" spans="1:12" x14ac:dyDescent="0.25">
      <c r="A80" t="s">
        <v>48</v>
      </c>
      <c r="B80" t="s">
        <v>72</v>
      </c>
      <c r="C80" t="s">
        <v>73</v>
      </c>
    </row>
    <row r="81" spans="1:3" x14ac:dyDescent="0.25">
      <c r="A81" t="s">
        <v>50</v>
      </c>
      <c r="B81" s="7">
        <f>MIN($B$76:$L$76)</f>
        <v>2.135180709046455</v>
      </c>
      <c r="C81" s="7">
        <f>MIN($C$76:$L$76)</f>
        <v>2.135180709046455</v>
      </c>
    </row>
    <row r="82" spans="1:3" x14ac:dyDescent="0.25">
      <c r="A82" t="s">
        <v>51</v>
      </c>
      <c r="B82" s="7">
        <f>MAX($B$76:$L$76)</f>
        <v>313.42921006770621</v>
      </c>
      <c r="C82" s="7">
        <f>MAX($C$76:$L$76)</f>
        <v>138.11465341435186</v>
      </c>
    </row>
    <row r="84" spans="1:3" x14ac:dyDescent="0.25">
      <c r="A84" t="s">
        <v>49</v>
      </c>
    </row>
    <row r="85" spans="1:3" x14ac:dyDescent="0.25">
      <c r="A85" t="s">
        <v>50</v>
      </c>
      <c r="B85" s="7">
        <f>MIN($B$78:$L$78)</f>
        <v>0</v>
      </c>
      <c r="C85" s="7">
        <f>MIN($C$78:$L$78)</f>
        <v>0</v>
      </c>
    </row>
    <row r="86" spans="1:3" x14ac:dyDescent="0.25">
      <c r="A86" t="s">
        <v>51</v>
      </c>
      <c r="B86" s="7">
        <f>MAX($B$78:$L$78)</f>
        <v>12.306365991471962</v>
      </c>
      <c r="C86" s="7">
        <f>MAX($C$78:$L$78)</f>
        <v>9.2850187169312175</v>
      </c>
    </row>
    <row r="88" spans="1:3" x14ac:dyDescent="0.25">
      <c r="A88" t="s">
        <v>27</v>
      </c>
    </row>
    <row r="89" spans="1:3" x14ac:dyDescent="0.25">
      <c r="A89" t="s">
        <v>50</v>
      </c>
    </row>
    <row r="90" spans="1:3" x14ac:dyDescent="0.25">
      <c r="A90" t="s">
        <v>51</v>
      </c>
      <c r="B90" s="7">
        <f>B82*$D$18</f>
        <v>175.52035763791548</v>
      </c>
      <c r="C90" s="7">
        <f>C82*$D$18</f>
        <v>77.344205912037054</v>
      </c>
    </row>
    <row r="91" spans="1:3" x14ac:dyDescent="0.25">
      <c r="B91" s="7"/>
    </row>
    <row r="92" spans="1:3" x14ac:dyDescent="0.25">
      <c r="A92" t="s">
        <v>62</v>
      </c>
      <c r="B92" s="7"/>
    </row>
    <row r="93" spans="1:3" x14ac:dyDescent="0.25">
      <c r="A93" t="s">
        <v>50</v>
      </c>
      <c r="B93" s="7"/>
    </row>
    <row r="94" spans="1:3" x14ac:dyDescent="0.25">
      <c r="A94" t="s">
        <v>51</v>
      </c>
      <c r="B94" s="7">
        <f>B82*$D$19</f>
        <v>31.342921006770624</v>
      </c>
      <c r="C94" s="7">
        <f>C82*$D$19</f>
        <v>13.811465341435188</v>
      </c>
    </row>
  </sheetData>
  <hyperlinks>
    <hyperlink ref="D17" r:id="rId1" xr:uid="{321475BF-C988-4D64-8527-F7075342E6B4}"/>
    <hyperlink ref="B17" r:id="rId2" xr:uid="{24B55232-2288-43DC-ABC0-5B77BE05A4D2}"/>
    <hyperlink ref="B1" r:id="rId3" xr:uid="{E8EE8164-7CAD-4614-B064-246CA28385E3}"/>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6B9DE-17EE-4CA0-86FF-D536D4003758}">
  <sheetPr codeName="Sheet20"/>
  <dimension ref="A1:N94"/>
  <sheetViews>
    <sheetView workbookViewId="0">
      <selection activeCell="C82" sqref="C82"/>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0" width="12.140625" customWidth="1"/>
    <col min="11" max="13" width="12.140625" bestFit="1" customWidth="1"/>
  </cols>
  <sheetData>
    <row r="1" spans="1:14" x14ac:dyDescent="0.25">
      <c r="A1" t="s">
        <v>90</v>
      </c>
      <c r="B1" s="11" t="s">
        <v>89</v>
      </c>
      <c r="L1" t="s">
        <v>46</v>
      </c>
    </row>
    <row r="2" spans="1:14" x14ac:dyDescent="0.25">
      <c r="B2" t="s">
        <v>56</v>
      </c>
      <c r="C2" t="s">
        <v>43</v>
      </c>
      <c r="D2" t="s">
        <v>28</v>
      </c>
      <c r="E2" t="s">
        <v>44</v>
      </c>
      <c r="F2" t="s">
        <v>29</v>
      </c>
      <c r="G2" t="s">
        <v>39</v>
      </c>
      <c r="H2" t="s">
        <v>30</v>
      </c>
      <c r="I2" t="s">
        <v>40</v>
      </c>
      <c r="J2" t="s">
        <v>79</v>
      </c>
      <c r="K2" t="s">
        <v>45</v>
      </c>
      <c r="L2" t="s">
        <v>17</v>
      </c>
      <c r="M2" t="s">
        <v>16</v>
      </c>
    </row>
    <row r="3" spans="1:14" x14ac:dyDescent="0.25">
      <c r="A3" t="s">
        <v>71</v>
      </c>
      <c r="B3" s="26">
        <v>43786</v>
      </c>
      <c r="C3" s="26">
        <v>43481</v>
      </c>
      <c r="D3" s="26">
        <v>43496</v>
      </c>
      <c r="E3" s="26">
        <v>43496</v>
      </c>
      <c r="F3" s="26">
        <v>43486</v>
      </c>
      <c r="G3" s="26">
        <v>43485</v>
      </c>
      <c r="H3" s="26">
        <v>43496</v>
      </c>
      <c r="I3" s="26">
        <v>43490</v>
      </c>
      <c r="J3" s="26">
        <v>43515</v>
      </c>
      <c r="K3" s="26">
        <v>43490</v>
      </c>
      <c r="L3" s="26">
        <v>43490</v>
      </c>
      <c r="M3" s="26">
        <v>43529</v>
      </c>
    </row>
    <row r="4" spans="1:14" x14ac:dyDescent="0.25">
      <c r="A4" t="s">
        <v>70</v>
      </c>
      <c r="B4">
        <v>121</v>
      </c>
      <c r="C4">
        <v>61</v>
      </c>
      <c r="D4">
        <v>46</v>
      </c>
      <c r="E4">
        <v>46</v>
      </c>
      <c r="F4">
        <v>56</v>
      </c>
      <c r="G4">
        <v>56</v>
      </c>
      <c r="H4">
        <v>46</v>
      </c>
      <c r="I4">
        <v>52</v>
      </c>
      <c r="J4">
        <v>27</v>
      </c>
      <c r="K4">
        <v>52</v>
      </c>
      <c r="L4">
        <v>52</v>
      </c>
      <c r="M4">
        <v>12</v>
      </c>
    </row>
    <row r="5" spans="1:14" x14ac:dyDescent="0.25">
      <c r="A5" t="s">
        <v>33</v>
      </c>
    </row>
    <row r="6" spans="1:14" x14ac:dyDescent="0.25">
      <c r="A6" t="s">
        <v>32</v>
      </c>
      <c r="B6" s="7">
        <v>142823000</v>
      </c>
      <c r="C6" s="7">
        <v>126800000</v>
      </c>
      <c r="D6" s="7">
        <v>60480000</v>
      </c>
      <c r="E6" s="7">
        <v>46660000</v>
      </c>
      <c r="F6" s="7">
        <v>327200000</v>
      </c>
      <c r="G6" s="7">
        <v>51470000</v>
      </c>
      <c r="H6" s="7">
        <v>66440000</v>
      </c>
      <c r="I6" s="7">
        <v>24600000</v>
      </c>
      <c r="J6" s="7">
        <v>81160000</v>
      </c>
      <c r="K6" s="7">
        <v>37590000</v>
      </c>
      <c r="L6" s="7">
        <v>14659616</v>
      </c>
      <c r="M6" s="7">
        <v>552714.5</v>
      </c>
    </row>
    <row r="7" spans="1:14" x14ac:dyDescent="0.25">
      <c r="A7" t="s">
        <v>55</v>
      </c>
      <c r="B7" s="4">
        <v>0.11</v>
      </c>
      <c r="C7" s="4">
        <v>0.28000000000000003</v>
      </c>
      <c r="D7" s="4">
        <v>0.23</v>
      </c>
      <c r="E7" s="4">
        <v>0.19</v>
      </c>
      <c r="F7" s="4">
        <v>0.16</v>
      </c>
      <c r="G7" s="4">
        <v>0.14000000000000001</v>
      </c>
      <c r="H7" s="4">
        <v>0.18</v>
      </c>
      <c r="I7" s="4">
        <v>0.16</v>
      </c>
      <c r="J7" s="4">
        <v>6.2E-2</v>
      </c>
      <c r="K7" s="4">
        <v>0.17</v>
      </c>
      <c r="L7" s="4">
        <v>0.17</v>
      </c>
      <c r="M7" s="4">
        <v>0.14000000000000001</v>
      </c>
    </row>
    <row r="9" spans="1:14" x14ac:dyDescent="0.25">
      <c r="A9" t="s">
        <v>31</v>
      </c>
      <c r="B9" s="30">
        <v>81077</v>
      </c>
      <c r="C9" s="30">
        <v>814</v>
      </c>
      <c r="D9" s="30">
        <v>24747</v>
      </c>
      <c r="E9" s="30">
        <v>7753</v>
      </c>
      <c r="F9" s="30">
        <v>1678</v>
      </c>
      <c r="G9" s="30">
        <v>8236</v>
      </c>
      <c r="H9" s="30">
        <v>1395</v>
      </c>
      <c r="I9" s="30">
        <v>298</v>
      </c>
      <c r="J9" s="30">
        <v>14991</v>
      </c>
      <c r="K9" s="30">
        <v>424</v>
      </c>
      <c r="L9" s="30">
        <v>177</v>
      </c>
      <c r="M9" s="30">
        <v>8</v>
      </c>
      <c r="N9" s="1"/>
    </row>
    <row r="10" spans="1:14" x14ac:dyDescent="0.25">
      <c r="A10" t="s">
        <v>34</v>
      </c>
      <c r="B10" s="30"/>
      <c r="C10" s="30"/>
      <c r="D10" s="30"/>
      <c r="E10" s="30"/>
      <c r="F10" s="30"/>
      <c r="G10" s="30"/>
      <c r="H10" s="30"/>
      <c r="I10" s="30"/>
      <c r="J10" s="30"/>
      <c r="K10" s="30"/>
      <c r="L10" s="30"/>
      <c r="M10" s="30"/>
    </row>
    <row r="11" spans="1:14" x14ac:dyDescent="0.25">
      <c r="A11" t="s">
        <v>35</v>
      </c>
      <c r="B11" s="30">
        <v>3218</v>
      </c>
      <c r="C11" s="30">
        <v>24</v>
      </c>
      <c r="D11" s="30">
        <v>1809</v>
      </c>
      <c r="E11" s="30">
        <v>288</v>
      </c>
      <c r="F11" s="30">
        <v>41</v>
      </c>
      <c r="G11" s="30">
        <v>75</v>
      </c>
      <c r="H11" s="30">
        <v>35</v>
      </c>
      <c r="I11" s="30">
        <v>5</v>
      </c>
      <c r="J11" s="30">
        <v>853</v>
      </c>
      <c r="K11" s="30">
        <v>4</v>
      </c>
      <c r="L11" s="30">
        <v>0</v>
      </c>
      <c r="M11" s="30">
        <v>0</v>
      </c>
    </row>
    <row r="13" spans="1:14" x14ac:dyDescent="0.25">
      <c r="A13" t="s">
        <v>36</v>
      </c>
    </row>
    <row r="14" spans="1:14" x14ac:dyDescent="0.25">
      <c r="A14" t="s">
        <v>34</v>
      </c>
    </row>
    <row r="15" spans="1:14" x14ac:dyDescent="0.25">
      <c r="A15" t="s">
        <v>35</v>
      </c>
      <c r="B15" s="1">
        <f>B11/B9</f>
        <v>3.969066443010965E-2</v>
      </c>
      <c r="C15" s="1">
        <f t="shared" ref="C15:M15" si="0">C11/C9</f>
        <v>2.9484029484029485E-2</v>
      </c>
      <c r="D15" s="1">
        <f t="shared" si="0"/>
        <v>7.3099769669050796E-2</v>
      </c>
      <c r="E15" s="1">
        <f t="shared" si="0"/>
        <v>3.714691087321037E-2</v>
      </c>
      <c r="F15" s="1">
        <f t="shared" si="0"/>
        <v>2.4433849821215731E-2</v>
      </c>
      <c r="G15" s="1">
        <f t="shared" si="0"/>
        <v>9.1063623118018463E-3</v>
      </c>
      <c r="H15" s="1">
        <f t="shared" si="0"/>
        <v>2.5089605734767026E-2</v>
      </c>
      <c r="I15" s="1">
        <f t="shared" si="0"/>
        <v>1.6778523489932886E-2</v>
      </c>
      <c r="J15" s="1">
        <f t="shared" si="0"/>
        <v>5.6900807150957244E-2</v>
      </c>
      <c r="K15" s="1">
        <f t="shared" si="0"/>
        <v>9.433962264150943E-3</v>
      </c>
      <c r="L15" s="1">
        <f t="shared" si="0"/>
        <v>0</v>
      </c>
      <c r="M15" s="1">
        <f t="shared" si="0"/>
        <v>0</v>
      </c>
    </row>
    <row r="16" spans="1:14" x14ac:dyDescent="0.25">
      <c r="B16" s="1"/>
      <c r="C16" s="1"/>
      <c r="D16" s="1"/>
      <c r="E16" s="1"/>
      <c r="F16" s="1"/>
      <c r="G16" s="1"/>
      <c r="H16" s="1"/>
      <c r="I16" s="1"/>
      <c r="J16" s="1"/>
      <c r="K16" s="1"/>
      <c r="L16" s="1"/>
    </row>
    <row r="17" spans="1:13" x14ac:dyDescent="0.25">
      <c r="B17" s="11" t="s">
        <v>61</v>
      </c>
      <c r="C17" s="1"/>
      <c r="D17" s="11" t="s">
        <v>60</v>
      </c>
      <c r="E17" s="1"/>
      <c r="F17" s="1"/>
      <c r="G17" s="1"/>
      <c r="H17" s="1"/>
      <c r="I17" s="1"/>
      <c r="J17" s="1"/>
      <c r="K17" s="1"/>
      <c r="L17" s="1"/>
    </row>
    <row r="18" spans="1:13" x14ac:dyDescent="0.25">
      <c r="A18" t="s">
        <v>58</v>
      </c>
      <c r="B18" s="1">
        <v>0.15</v>
      </c>
      <c r="C18" s="1"/>
      <c r="D18" s="1">
        <v>0.56000000000000005</v>
      </c>
      <c r="E18" s="1"/>
      <c r="F18" s="1"/>
      <c r="G18" s="1"/>
      <c r="H18" s="1"/>
      <c r="I18" s="1"/>
      <c r="J18" s="1"/>
      <c r="K18" s="1">
        <v>0.13</v>
      </c>
      <c r="L18" s="1"/>
    </row>
    <row r="19" spans="1:13" x14ac:dyDescent="0.25">
      <c r="A19" t="s">
        <v>59</v>
      </c>
      <c r="B19" s="1">
        <v>0.05</v>
      </c>
      <c r="C19" s="1"/>
      <c r="D19" s="1">
        <v>0.1</v>
      </c>
      <c r="E19" s="1"/>
      <c r="F19" s="1"/>
      <c r="G19" s="1"/>
      <c r="H19" s="1"/>
      <c r="I19" s="1"/>
      <c r="J19" s="1"/>
      <c r="K19" s="1"/>
      <c r="L19" s="1"/>
    </row>
    <row r="20" spans="1:13" x14ac:dyDescent="0.25">
      <c r="B20" s="1"/>
      <c r="C20" s="1"/>
      <c r="D20" s="1"/>
      <c r="E20" s="1"/>
      <c r="F20" s="1"/>
      <c r="G20" s="1"/>
      <c r="H20" s="1"/>
      <c r="I20" s="1"/>
      <c r="J20" s="1"/>
      <c r="K20" s="1"/>
      <c r="L20" s="1"/>
    </row>
    <row r="22" spans="1:13" x14ac:dyDescent="0.25">
      <c r="A22" t="s">
        <v>42</v>
      </c>
    </row>
    <row r="23" spans="1:13" x14ac:dyDescent="0.25">
      <c r="A23" t="s">
        <v>41</v>
      </c>
      <c r="B23" s="7">
        <f t="shared" ref="B23:L23" si="1">B9/B6*100000</f>
        <v>56.767467424714511</v>
      </c>
      <c r="C23" s="7">
        <f t="shared" si="1"/>
        <v>0.64195583596214512</v>
      </c>
      <c r="D23" s="7">
        <f t="shared" si="1"/>
        <v>40.917658730158735</v>
      </c>
      <c r="E23" s="7">
        <f t="shared" si="1"/>
        <v>16.615945135019288</v>
      </c>
      <c r="F23" s="7">
        <f t="shared" si="1"/>
        <v>0.51283618581907087</v>
      </c>
      <c r="G23" s="7">
        <f t="shared" si="1"/>
        <v>16.001554303477754</v>
      </c>
      <c r="H23" s="7">
        <f t="shared" si="1"/>
        <v>2.0996387718242024</v>
      </c>
      <c r="I23" s="7">
        <f t="shared" si="1"/>
        <v>1.2113821138211383</v>
      </c>
      <c r="J23" s="7">
        <f t="shared" si="1"/>
        <v>18.470921636274028</v>
      </c>
      <c r="K23" s="7">
        <f t="shared" si="1"/>
        <v>1.1279595637137536</v>
      </c>
      <c r="L23" s="7">
        <f t="shared" si="1"/>
        <v>1.2073986112596675</v>
      </c>
      <c r="M23" s="8">
        <f>D23*$M$6/100000</f>
        <v>226.15783286210322</v>
      </c>
    </row>
    <row r="24" spans="1:13" x14ac:dyDescent="0.25">
      <c r="A24" t="s">
        <v>34</v>
      </c>
      <c r="M24" s="27">
        <f>M23*D18</f>
        <v>126.64838640277782</v>
      </c>
    </row>
    <row r="25" spans="1:13" x14ac:dyDescent="0.25">
      <c r="A25" t="s">
        <v>35</v>
      </c>
      <c r="B25" s="7">
        <f>B11/B6*100000</f>
        <v>2.2531385001015241</v>
      </c>
      <c r="C25" s="7">
        <f t="shared" ref="C25:L25" si="2">C11/C6*100000</f>
        <v>1.8927444794952682E-2</v>
      </c>
      <c r="D25" s="7">
        <f t="shared" si="2"/>
        <v>2.9910714285714284</v>
      </c>
      <c r="E25" s="7">
        <f t="shared" si="2"/>
        <v>0.61723103300471494</v>
      </c>
      <c r="F25" s="7">
        <f t="shared" si="2"/>
        <v>1.2530562347188265E-2</v>
      </c>
      <c r="G25" s="7">
        <f t="shared" si="2"/>
        <v>0.14571595103944043</v>
      </c>
      <c r="H25" s="7">
        <f t="shared" si="2"/>
        <v>5.2679108970499704E-2</v>
      </c>
      <c r="I25" s="7">
        <f t="shared" si="2"/>
        <v>2.032520325203252E-2</v>
      </c>
      <c r="J25" s="7">
        <f t="shared" si="2"/>
        <v>1.0510103499260719</v>
      </c>
      <c r="K25" s="7">
        <f t="shared" si="2"/>
        <v>1.0641127959563713E-2</v>
      </c>
      <c r="L25" s="7">
        <f t="shared" si="2"/>
        <v>0</v>
      </c>
      <c r="M25" s="8">
        <f>D25*$M$6/100000</f>
        <v>16.532085491071427</v>
      </c>
    </row>
    <row r="26" spans="1:13" x14ac:dyDescent="0.25">
      <c r="M26" s="27">
        <f>M23*D19</f>
        <v>22.615783286210323</v>
      </c>
    </row>
    <row r="28" spans="1:13" x14ac:dyDescent="0.25">
      <c r="A28" s="10" t="s">
        <v>74</v>
      </c>
    </row>
    <row r="31" spans="1:13" x14ac:dyDescent="0.25">
      <c r="A31" t="s">
        <v>48</v>
      </c>
      <c r="B31" s="7">
        <f>B23*$K$6/100000</f>
        <v>21338.891004950186</v>
      </c>
      <c r="C31" s="7">
        <f t="shared" ref="C31:L31" si="3">C23*$K$6/100000</f>
        <v>241.31119873817033</v>
      </c>
      <c r="D31" s="7">
        <f t="shared" si="3"/>
        <v>15380.947916666668</v>
      </c>
      <c r="E31" s="7">
        <f t="shared" si="3"/>
        <v>6245.9337762537507</v>
      </c>
      <c r="F31" s="7">
        <f t="shared" si="3"/>
        <v>192.77512224938874</v>
      </c>
      <c r="G31" s="7">
        <f t="shared" si="3"/>
        <v>6014.9842626772879</v>
      </c>
      <c r="H31" s="7">
        <f t="shared" si="3"/>
        <v>789.25421432871769</v>
      </c>
      <c r="I31" s="7">
        <f t="shared" si="3"/>
        <v>455.35853658536581</v>
      </c>
      <c r="J31" s="7"/>
      <c r="K31" s="7">
        <f t="shared" si="3"/>
        <v>424</v>
      </c>
      <c r="L31" s="7">
        <f t="shared" si="3"/>
        <v>453.86113797250903</v>
      </c>
    </row>
    <row r="32" spans="1:13" x14ac:dyDescent="0.25">
      <c r="B32" s="7"/>
      <c r="C32" s="7"/>
      <c r="D32" s="7"/>
      <c r="E32" s="7"/>
      <c r="F32" s="7"/>
      <c r="G32" s="7"/>
      <c r="H32" s="7"/>
      <c r="I32" s="7"/>
      <c r="J32" s="7"/>
      <c r="K32" s="7"/>
      <c r="L32" s="7"/>
    </row>
    <row r="33" spans="1:12" x14ac:dyDescent="0.25">
      <c r="A33" t="s">
        <v>49</v>
      </c>
      <c r="B33" s="7">
        <f>B25*$K$6/100000</f>
        <v>846.95476218816293</v>
      </c>
      <c r="C33" s="7">
        <f t="shared" ref="C33:L33" si="4">C25*$K$6/100000</f>
        <v>7.1148264984227136</v>
      </c>
      <c r="D33" s="7">
        <f t="shared" si="4"/>
        <v>1124.34375</v>
      </c>
      <c r="E33" s="7">
        <f t="shared" si="4"/>
        <v>232.01714530647234</v>
      </c>
      <c r="F33" s="7">
        <f t="shared" si="4"/>
        <v>4.7102383863080686</v>
      </c>
      <c r="G33" s="7">
        <f t="shared" si="4"/>
        <v>54.774625995725664</v>
      </c>
      <c r="H33" s="7">
        <f t="shared" si="4"/>
        <v>19.802077062010838</v>
      </c>
      <c r="I33" s="7">
        <f t="shared" si="4"/>
        <v>7.6402439024390247</v>
      </c>
      <c r="J33" s="7"/>
      <c r="K33" s="7">
        <f t="shared" si="4"/>
        <v>4</v>
      </c>
      <c r="L33" s="7">
        <f t="shared" si="4"/>
        <v>0</v>
      </c>
    </row>
    <row r="35" spans="1:12" x14ac:dyDescent="0.25">
      <c r="A35" t="s">
        <v>48</v>
      </c>
      <c r="B35" t="s">
        <v>75</v>
      </c>
    </row>
    <row r="36" spans="1:12" x14ac:dyDescent="0.25">
      <c r="A36" t="s">
        <v>50</v>
      </c>
      <c r="B36" s="7">
        <f>MIN($B$31:$L$31)</f>
        <v>192.77512224938874</v>
      </c>
      <c r="C36" s="7"/>
    </row>
    <row r="37" spans="1:12" x14ac:dyDescent="0.25">
      <c r="A37" t="s">
        <v>51</v>
      </c>
      <c r="B37" s="7">
        <f>MAX(B31:L31)</f>
        <v>21338.891004950186</v>
      </c>
      <c r="C37">
        <f>B37*1.6%</f>
        <v>341.42225607920301</v>
      </c>
      <c r="D37" t="s">
        <v>78</v>
      </c>
    </row>
    <row r="39" spans="1:12" x14ac:dyDescent="0.25">
      <c r="A39" t="s">
        <v>49</v>
      </c>
    </row>
    <row r="40" spans="1:12" x14ac:dyDescent="0.25">
      <c r="A40" t="s">
        <v>50</v>
      </c>
      <c r="B40" s="7">
        <f>MIN(B33:L33)</f>
        <v>0</v>
      </c>
    </row>
    <row r="41" spans="1:12" x14ac:dyDescent="0.25">
      <c r="A41" t="s">
        <v>51</v>
      </c>
      <c r="B41" s="7">
        <f>MAX($B$33:$L$33)</f>
        <v>1124.34375</v>
      </c>
      <c r="C41">
        <f>B41*1.6%</f>
        <v>17.9895</v>
      </c>
      <c r="D41" t="s">
        <v>78</v>
      </c>
    </row>
    <row r="42" spans="1:12" x14ac:dyDescent="0.25">
      <c r="B42" s="7"/>
    </row>
    <row r="43" spans="1:12" x14ac:dyDescent="0.25">
      <c r="A43" t="s">
        <v>63</v>
      </c>
      <c r="B43" s="7" t="s">
        <v>65</v>
      </c>
      <c r="C43" t="s">
        <v>66</v>
      </c>
    </row>
    <row r="44" spans="1:12" x14ac:dyDescent="0.25">
      <c r="A44" t="s">
        <v>50</v>
      </c>
      <c r="B44" s="7">
        <f>B18*K9</f>
        <v>63.599999999999994</v>
      </c>
      <c r="C44" s="7">
        <f>B36*B18</f>
        <v>28.916268337408312</v>
      </c>
    </row>
    <row r="45" spans="1:12" x14ac:dyDescent="0.25">
      <c r="A45" t="s">
        <v>51</v>
      </c>
      <c r="B45" s="7">
        <f>K9*D18</f>
        <v>237.44000000000003</v>
      </c>
      <c r="C45" s="7">
        <f>B37*D18</f>
        <v>11949.778962772105</v>
      </c>
      <c r="D45">
        <f>C45*1.6%</f>
        <v>191.19646340435369</v>
      </c>
      <c r="E45" t="s">
        <v>78</v>
      </c>
    </row>
    <row r="46" spans="1:12" x14ac:dyDescent="0.25">
      <c r="B46" s="7"/>
    </row>
    <row r="47" spans="1:12" x14ac:dyDescent="0.25">
      <c r="A47" t="s">
        <v>64</v>
      </c>
      <c r="B47" s="7" t="s">
        <v>77</v>
      </c>
      <c r="C47" t="s">
        <v>76</v>
      </c>
    </row>
    <row r="48" spans="1:12" x14ac:dyDescent="0.25">
      <c r="A48" t="s">
        <v>50</v>
      </c>
      <c r="B48" s="7"/>
    </row>
    <row r="49" spans="1:12" x14ac:dyDescent="0.25">
      <c r="A49" t="s">
        <v>51</v>
      </c>
      <c r="B49" s="7">
        <f>K9*D19</f>
        <v>42.400000000000006</v>
      </c>
      <c r="C49" s="7">
        <f>B37*D19</f>
        <v>2133.8891004950187</v>
      </c>
      <c r="D49">
        <f>C49*1.6%</f>
        <v>34.142225607920302</v>
      </c>
      <c r="E49" t="s">
        <v>78</v>
      </c>
    </row>
    <row r="52" spans="1:12" x14ac:dyDescent="0.25">
      <c r="A52" s="10" t="s">
        <v>47</v>
      </c>
    </row>
    <row r="54" spans="1:12" x14ac:dyDescent="0.25">
      <c r="A54" t="s">
        <v>48</v>
      </c>
      <c r="B54" s="7">
        <f>B23*$L$6/100000</f>
        <v>8321.8927373882361</v>
      </c>
      <c r="C54" s="7">
        <f t="shared" ref="C54:L54" si="5">C23*$L$6/100000</f>
        <v>94.108260441640368</v>
      </c>
      <c r="D54" s="7">
        <f t="shared" si="5"/>
        <v>5998.3716460317464</v>
      </c>
      <c r="E54" s="7">
        <f t="shared" si="5"/>
        <v>2435.8337515645094</v>
      </c>
      <c r="F54" s="7">
        <f t="shared" si="5"/>
        <v>75.179815550122242</v>
      </c>
      <c r="G54" s="7">
        <f t="shared" si="5"/>
        <v>2345.7664149213133</v>
      </c>
      <c r="H54" s="7">
        <f t="shared" si="5"/>
        <v>307.79898133654427</v>
      </c>
      <c r="I54" s="7">
        <f t="shared" si="5"/>
        <v>177.58396617886177</v>
      </c>
      <c r="J54" s="7"/>
      <c r="K54" s="7">
        <f t="shared" si="5"/>
        <v>165.3545406757116</v>
      </c>
      <c r="L54" s="7">
        <f t="shared" si="5"/>
        <v>177.00000000000003</v>
      </c>
    </row>
    <row r="55" spans="1:12" x14ac:dyDescent="0.25">
      <c r="B55" s="7"/>
      <c r="C55" s="7"/>
      <c r="D55" s="7"/>
      <c r="E55" s="7"/>
      <c r="F55" s="7"/>
      <c r="G55" s="7"/>
      <c r="H55" s="7"/>
      <c r="I55" s="7"/>
      <c r="J55" s="7"/>
      <c r="K55" s="7"/>
      <c r="L55" s="7"/>
    </row>
    <row r="56" spans="1:12" x14ac:dyDescent="0.25">
      <c r="A56" t="s">
        <v>49</v>
      </c>
      <c r="B56" s="7">
        <f t="shared" ref="B56:L56" si="6">B25*$L$6/100000</f>
        <v>330.30145206304303</v>
      </c>
      <c r="C56" s="7">
        <f t="shared" si="6"/>
        <v>2.7746907255520501</v>
      </c>
      <c r="D56" s="7">
        <f t="shared" si="6"/>
        <v>438.47958571428569</v>
      </c>
      <c r="E56" s="7">
        <f t="shared" si="6"/>
        <v>90.483699271324468</v>
      </c>
      <c r="F56" s="7">
        <f t="shared" si="6"/>
        <v>1.8369323227383862</v>
      </c>
      <c r="G56" s="7">
        <f t="shared" si="6"/>
        <v>21.361398873129975</v>
      </c>
      <c r="H56" s="7">
        <f t="shared" si="6"/>
        <v>7.7225550872968105</v>
      </c>
      <c r="I56" s="7">
        <f t="shared" si="6"/>
        <v>2.9795967479674799</v>
      </c>
      <c r="J56" s="7"/>
      <c r="K56" s="7">
        <f t="shared" si="6"/>
        <v>1.5599484969406756</v>
      </c>
      <c r="L56" s="7">
        <f t="shared" si="6"/>
        <v>0</v>
      </c>
    </row>
    <row r="58" spans="1:12" x14ac:dyDescent="0.25">
      <c r="A58" t="s">
        <v>48</v>
      </c>
    </row>
    <row r="59" spans="1:12" x14ac:dyDescent="0.25">
      <c r="A59" t="s">
        <v>50</v>
      </c>
      <c r="B59" s="7">
        <f>MIN($B$54:$L$54)</f>
        <v>75.179815550122242</v>
      </c>
    </row>
    <row r="60" spans="1:12" x14ac:dyDescent="0.25">
      <c r="A60" t="s">
        <v>51</v>
      </c>
      <c r="B60" s="7">
        <f>MAX($B$54:$L$54)</f>
        <v>8321.8927373882361</v>
      </c>
    </row>
    <row r="62" spans="1:12" x14ac:dyDescent="0.25">
      <c r="A62" t="s">
        <v>49</v>
      </c>
    </row>
    <row r="63" spans="1:12" x14ac:dyDescent="0.25">
      <c r="A63" t="s">
        <v>50</v>
      </c>
      <c r="B63" s="7">
        <f>MIN($B$56:$L$56)</f>
        <v>0</v>
      </c>
    </row>
    <row r="64" spans="1:12" x14ac:dyDescent="0.25">
      <c r="A64" t="s">
        <v>51</v>
      </c>
      <c r="B64" s="7">
        <f>MAX($B$56:$L$56)</f>
        <v>438.47958571428569</v>
      </c>
    </row>
    <row r="65" spans="1:12" x14ac:dyDescent="0.25">
      <c r="B65" s="7"/>
    </row>
    <row r="66" spans="1:12" x14ac:dyDescent="0.25">
      <c r="A66" t="s">
        <v>63</v>
      </c>
      <c r="B66" s="7" t="s">
        <v>77</v>
      </c>
      <c r="C66" t="s">
        <v>76</v>
      </c>
    </row>
    <row r="67" spans="1:12" x14ac:dyDescent="0.25">
      <c r="A67" t="s">
        <v>50</v>
      </c>
      <c r="B67" s="7">
        <f>B18*L9</f>
        <v>26.55</v>
      </c>
    </row>
    <row r="68" spans="1:12" x14ac:dyDescent="0.25">
      <c r="A68" t="s">
        <v>51</v>
      </c>
      <c r="B68" s="7">
        <f>D18*L9</f>
        <v>99.12</v>
      </c>
      <c r="C68" s="7">
        <f>B60*D18</f>
        <v>4660.2599329374125</v>
      </c>
    </row>
    <row r="69" spans="1:12" x14ac:dyDescent="0.25">
      <c r="B69" s="7"/>
    </row>
    <row r="70" spans="1:12" x14ac:dyDescent="0.25">
      <c r="A70" t="s">
        <v>64</v>
      </c>
      <c r="B70" s="7" t="s">
        <v>77</v>
      </c>
      <c r="C70" t="s">
        <v>76</v>
      </c>
    </row>
    <row r="71" spans="1:12" x14ac:dyDescent="0.25">
      <c r="A71" t="s">
        <v>50</v>
      </c>
      <c r="B71" s="7">
        <f>B19*L9</f>
        <v>8.85</v>
      </c>
    </row>
    <row r="72" spans="1:12" x14ac:dyDescent="0.25">
      <c r="A72" t="s">
        <v>51</v>
      </c>
      <c r="B72">
        <f>D19*L9</f>
        <v>17.7</v>
      </c>
      <c r="C72" s="7">
        <f>B60*D19</f>
        <v>832.18927373882366</v>
      </c>
    </row>
    <row r="74" spans="1:12" x14ac:dyDescent="0.25">
      <c r="A74" s="10" t="s">
        <v>52</v>
      </c>
    </row>
    <row r="76" spans="1:12" x14ac:dyDescent="0.25">
      <c r="A76" t="s">
        <v>48</v>
      </c>
      <c r="B76" s="7">
        <f>B23*$M$6/100000</f>
        <v>313.76202373917369</v>
      </c>
      <c r="C76" s="7">
        <f t="shared" ref="C76:L78" si="7">C23*$M$6/100000</f>
        <v>3.5481829889589904</v>
      </c>
      <c r="D76" s="7">
        <f t="shared" si="7"/>
        <v>226.15783286210322</v>
      </c>
      <c r="E76" s="7">
        <f t="shared" si="7"/>
        <v>91.83873807329617</v>
      </c>
      <c r="F76" s="7">
        <f t="shared" si="7"/>
        <v>2.8345199602689481</v>
      </c>
      <c r="G76" s="7">
        <f t="shared" si="7"/>
        <v>88.442910860695534</v>
      </c>
      <c r="H76" s="7">
        <f t="shared" si="7"/>
        <v>11.605007939494282</v>
      </c>
      <c r="I76" s="7">
        <f t="shared" si="7"/>
        <v>6.6954845934959346</v>
      </c>
      <c r="J76" s="7"/>
      <c r="K76" s="7">
        <f t="shared" si="7"/>
        <v>6.2343960627826549</v>
      </c>
      <c r="L76" s="7">
        <f t="shared" si="7"/>
        <v>6.6734671972308144</v>
      </c>
    </row>
    <row r="77" spans="1:12" x14ac:dyDescent="0.25">
      <c r="B77" s="7"/>
      <c r="C77" s="7"/>
      <c r="D77" s="7"/>
      <c r="E77" s="7"/>
      <c r="F77" s="7"/>
      <c r="G77" s="7"/>
      <c r="H77" s="7"/>
      <c r="I77" s="7"/>
      <c r="J77" s="7"/>
      <c r="K77" s="7"/>
      <c r="L77" s="7"/>
    </row>
    <row r="78" spans="1:12" x14ac:dyDescent="0.25">
      <c r="A78" t="s">
        <v>49</v>
      </c>
      <c r="B78" s="7">
        <f>B25*$M$6/100000</f>
        <v>12.453423195143637</v>
      </c>
      <c r="C78" s="7">
        <f t="shared" si="7"/>
        <v>0.10461473186119874</v>
      </c>
      <c r="D78" s="7">
        <f t="shared" si="7"/>
        <v>16.532085491071427</v>
      </c>
      <c r="E78" s="7">
        <f t="shared" si="7"/>
        <v>3.4115254179168453</v>
      </c>
      <c r="F78" s="7">
        <f t="shared" si="7"/>
        <v>6.9258235024449874E-2</v>
      </c>
      <c r="G78" s="7">
        <f t="shared" si="7"/>
        <v>0.80539319020788791</v>
      </c>
      <c r="H78" s="7">
        <f t="shared" si="7"/>
        <v>0.29116507375075262</v>
      </c>
      <c r="I78" s="7">
        <f t="shared" si="7"/>
        <v>0.11234034552845529</v>
      </c>
      <c r="J78" s="7"/>
      <c r="K78" s="7">
        <f t="shared" si="7"/>
        <v>5.8815057196062781E-2</v>
      </c>
      <c r="L78" s="7">
        <f t="shared" si="7"/>
        <v>0</v>
      </c>
    </row>
    <row r="80" spans="1:12" x14ac:dyDescent="0.25">
      <c r="A80" t="s">
        <v>48</v>
      </c>
      <c r="B80" t="s">
        <v>72</v>
      </c>
      <c r="C80" t="s">
        <v>73</v>
      </c>
    </row>
    <row r="81" spans="1:3" x14ac:dyDescent="0.25">
      <c r="A81" t="s">
        <v>50</v>
      </c>
      <c r="B81" s="7">
        <f>MIN($B$76:$L$76)</f>
        <v>2.8345199602689481</v>
      </c>
      <c r="C81" s="7">
        <f>MIN($C$76:$L$76)</f>
        <v>2.8345199602689481</v>
      </c>
    </row>
    <row r="82" spans="1:3" x14ac:dyDescent="0.25">
      <c r="A82" t="s">
        <v>51</v>
      </c>
      <c r="B82" s="7">
        <f>MAX($B$76:$L$76)</f>
        <v>313.76202373917369</v>
      </c>
      <c r="C82" s="7">
        <f>MAX($C$76:$L$76)</f>
        <v>226.15783286210322</v>
      </c>
    </row>
    <row r="84" spans="1:3" x14ac:dyDescent="0.25">
      <c r="A84" t="s">
        <v>49</v>
      </c>
    </row>
    <row r="85" spans="1:3" x14ac:dyDescent="0.25">
      <c r="A85" t="s">
        <v>50</v>
      </c>
      <c r="B85" s="7">
        <f>MIN($B$78:$L$78)</f>
        <v>0</v>
      </c>
      <c r="C85" s="7">
        <f>MIN($C$78:$L$78)</f>
        <v>0</v>
      </c>
    </row>
    <row r="86" spans="1:3" x14ac:dyDescent="0.25">
      <c r="A86" t="s">
        <v>51</v>
      </c>
      <c r="B86" s="7">
        <f>MAX($B$78:$L$78)</f>
        <v>16.532085491071427</v>
      </c>
      <c r="C86" s="7">
        <f>MAX($C$78:$L$78)</f>
        <v>16.532085491071427</v>
      </c>
    </row>
    <row r="88" spans="1:3" x14ac:dyDescent="0.25">
      <c r="A88" t="s">
        <v>27</v>
      </c>
    </row>
    <row r="89" spans="1:3" x14ac:dyDescent="0.25">
      <c r="A89" t="s">
        <v>50</v>
      </c>
    </row>
    <row r="90" spans="1:3" x14ac:dyDescent="0.25">
      <c r="A90" t="s">
        <v>51</v>
      </c>
      <c r="B90" s="7">
        <f>B82*$D$18</f>
        <v>175.70673329393728</v>
      </c>
      <c r="C90" s="7">
        <f>C82*$D$18</f>
        <v>126.64838640277782</v>
      </c>
    </row>
    <row r="91" spans="1:3" x14ac:dyDescent="0.25">
      <c r="B91" s="7"/>
    </row>
    <row r="92" spans="1:3" x14ac:dyDescent="0.25">
      <c r="A92" t="s">
        <v>62</v>
      </c>
      <c r="B92" s="7"/>
    </row>
    <row r="93" spans="1:3" x14ac:dyDescent="0.25">
      <c r="A93" t="s">
        <v>50</v>
      </c>
      <c r="B93" s="7"/>
    </row>
    <row r="94" spans="1:3" x14ac:dyDescent="0.25">
      <c r="A94" t="s">
        <v>51</v>
      </c>
      <c r="B94" s="7">
        <f>B82*$D$19</f>
        <v>31.376202373917369</v>
      </c>
      <c r="C94" s="7">
        <f>C82*$D$19</f>
        <v>22.615783286210323</v>
      </c>
    </row>
  </sheetData>
  <hyperlinks>
    <hyperlink ref="D17" r:id="rId1" xr:uid="{A46414B6-CCA6-4132-9862-86249774BB39}"/>
    <hyperlink ref="B17" r:id="rId2" xr:uid="{69E401D9-0DF5-4051-B25D-5A4246432C05}"/>
    <hyperlink ref="B1" r:id="rId3" xr:uid="{227A15FB-58F7-4634-8188-A5F31328583D}"/>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8B7A-1E49-492F-9A32-2F52D393FFDB}">
  <sheetPr codeName="Sheet21"/>
  <dimension ref="A1:P94"/>
  <sheetViews>
    <sheetView workbookViewId="0">
      <selection activeCell="T27" sqref="T27"/>
    </sheetView>
  </sheetViews>
  <sheetFormatPr defaultRowHeight="15" x14ac:dyDescent="0.25"/>
  <cols>
    <col min="1" max="1" width="25.7109375" customWidth="1"/>
    <col min="2" max="2" width="13.140625" bestFit="1" customWidth="1"/>
    <col min="3" max="3" width="13.140625" customWidth="1"/>
    <col min="4" max="5" width="12.140625" bestFit="1" customWidth="1"/>
    <col min="6" max="6" width="13.140625" bestFit="1" customWidth="1"/>
    <col min="7" max="9" width="12.140625" bestFit="1" customWidth="1"/>
    <col min="10" max="11" width="12.140625" customWidth="1"/>
    <col min="12" max="13" width="12.140625" bestFit="1" customWidth="1"/>
    <col min="14" max="14" width="12.140625" customWidth="1"/>
    <col min="15" max="15" width="12.140625" bestFit="1" customWidth="1"/>
  </cols>
  <sheetData>
    <row r="1" spans="1:16" x14ac:dyDescent="0.25">
      <c r="A1" t="s">
        <v>38</v>
      </c>
      <c r="B1" s="11" t="s">
        <v>89</v>
      </c>
    </row>
    <row r="2" spans="1:16" x14ac:dyDescent="0.25">
      <c r="B2" t="s">
        <v>56</v>
      </c>
      <c r="C2" t="s">
        <v>43</v>
      </c>
      <c r="D2" t="s">
        <v>28</v>
      </c>
      <c r="E2" t="s">
        <v>44</v>
      </c>
      <c r="F2" t="s">
        <v>29</v>
      </c>
      <c r="G2" t="s">
        <v>39</v>
      </c>
      <c r="H2" t="s">
        <v>30</v>
      </c>
      <c r="I2" t="s">
        <v>40</v>
      </c>
      <c r="J2" t="s">
        <v>79</v>
      </c>
      <c r="K2" t="s">
        <v>109</v>
      </c>
      <c r="L2" t="s">
        <v>45</v>
      </c>
      <c r="M2" t="s">
        <v>17</v>
      </c>
      <c r="N2" t="s">
        <v>95</v>
      </c>
      <c r="O2" t="s">
        <v>16</v>
      </c>
    </row>
    <row r="3" spans="1:16" x14ac:dyDescent="0.25">
      <c r="A3" t="s">
        <v>71</v>
      </c>
      <c r="B3" s="26">
        <v>43786</v>
      </c>
      <c r="C3" s="26">
        <v>43481</v>
      </c>
      <c r="D3" s="26">
        <v>43496</v>
      </c>
      <c r="E3" s="26">
        <v>43496</v>
      </c>
      <c r="F3" s="26">
        <v>43486</v>
      </c>
      <c r="G3" s="26">
        <v>43485</v>
      </c>
      <c r="H3" s="26">
        <v>43496</v>
      </c>
      <c r="I3" s="26">
        <v>43490</v>
      </c>
      <c r="J3" s="26">
        <v>43515</v>
      </c>
      <c r="K3" s="26">
        <v>43489</v>
      </c>
      <c r="L3" s="26">
        <v>43490</v>
      </c>
      <c r="M3" s="26">
        <v>43490</v>
      </c>
      <c r="N3" s="26">
        <v>43490</v>
      </c>
      <c r="O3" s="26">
        <v>43529</v>
      </c>
    </row>
    <row r="4" spans="1:16" x14ac:dyDescent="0.25">
      <c r="A4" t="s">
        <v>70</v>
      </c>
      <c r="B4" s="30">
        <f ca="1">TODAY()-DATE(2019,11,17)</f>
        <v>161</v>
      </c>
      <c r="C4" s="30">
        <f ca="1">TODAY()-DATE(2020,1,16)</f>
        <v>101</v>
      </c>
      <c r="D4" s="30">
        <f ca="1">TODAY()-DATE(2020,1,31)</f>
        <v>86</v>
      </c>
      <c r="E4" s="30">
        <f ca="1">TODAY()-DATE(2020,1,31)</f>
        <v>86</v>
      </c>
      <c r="F4" s="30">
        <f ca="1">TODAY()-DATE(2020,1,21)</f>
        <v>96</v>
      </c>
      <c r="G4" s="30">
        <f ca="1">TODAY()-DATE(2020,1,21)</f>
        <v>96</v>
      </c>
      <c r="H4" s="30">
        <f ca="1">TODAY()-DATE(2020,1,31)</f>
        <v>86</v>
      </c>
      <c r="I4" s="30">
        <f ca="1">TODAY()-DATE(2020,1,25)</f>
        <v>92</v>
      </c>
      <c r="J4" s="30">
        <f ca="1">TODAY()-DATE(2020,2,19)</f>
        <v>67</v>
      </c>
      <c r="K4" s="30">
        <f ca="1">TODAY()-DATE(2020,2,19)</f>
        <v>67</v>
      </c>
      <c r="L4" s="30">
        <f ca="1">TODAY()-DATE(2020,1,25)</f>
        <v>92</v>
      </c>
      <c r="M4" s="30">
        <f ca="1">TODAY()-DATE(2020,1,25)</f>
        <v>92</v>
      </c>
      <c r="N4" s="30">
        <f ca="1">TODAY()-DATE(2020,1,25)</f>
        <v>92</v>
      </c>
      <c r="O4" s="30">
        <f ca="1">TODAY()-DATE(2020,3,5)</f>
        <v>52</v>
      </c>
    </row>
    <row r="5" spans="1:16" x14ac:dyDescent="0.25">
      <c r="A5" t="s">
        <v>33</v>
      </c>
    </row>
    <row r="6" spans="1:16" x14ac:dyDescent="0.25">
      <c r="A6" t="s">
        <v>32</v>
      </c>
      <c r="B6" s="7">
        <v>142823000</v>
      </c>
      <c r="C6" s="7">
        <v>126800000</v>
      </c>
      <c r="D6" s="7">
        <v>60480000</v>
      </c>
      <c r="E6" s="7">
        <v>46660000</v>
      </c>
      <c r="F6" s="7">
        <v>327200000</v>
      </c>
      <c r="G6" s="7">
        <v>51470000</v>
      </c>
      <c r="H6" s="7">
        <v>66440000</v>
      </c>
      <c r="I6" s="7">
        <v>24600000</v>
      </c>
      <c r="J6" s="7">
        <v>81160000</v>
      </c>
      <c r="K6" s="7">
        <v>66990000</v>
      </c>
      <c r="L6" s="7">
        <v>37590000</v>
      </c>
      <c r="M6" s="7">
        <v>14659616</v>
      </c>
      <c r="N6" s="7"/>
      <c r="O6" s="7">
        <v>552714.5</v>
      </c>
    </row>
    <row r="7" spans="1:16" x14ac:dyDescent="0.25">
      <c r="A7" t="s">
        <v>55</v>
      </c>
      <c r="B7" s="4">
        <v>0.11</v>
      </c>
      <c r="C7" s="4">
        <v>0.28000000000000003</v>
      </c>
      <c r="D7" s="4">
        <v>0.23</v>
      </c>
      <c r="E7" s="4">
        <v>0.19</v>
      </c>
      <c r="F7" s="4">
        <v>0.16</v>
      </c>
      <c r="G7" s="4">
        <v>0.14000000000000001</v>
      </c>
      <c r="H7" s="4">
        <v>0.18</v>
      </c>
      <c r="I7" s="4">
        <v>0.16</v>
      </c>
      <c r="J7" s="4">
        <v>6.2E-2</v>
      </c>
      <c r="K7" s="4">
        <v>0.2</v>
      </c>
      <c r="L7" s="4">
        <v>0.17</v>
      </c>
      <c r="M7" s="4">
        <v>0.17</v>
      </c>
      <c r="N7" s="4"/>
      <c r="O7" s="4">
        <v>0.14000000000000001</v>
      </c>
    </row>
    <row r="9" spans="1:16" x14ac:dyDescent="0.25">
      <c r="A9" t="s">
        <v>31</v>
      </c>
      <c r="B9" s="30">
        <v>80991</v>
      </c>
      <c r="C9" s="30">
        <v>675</v>
      </c>
      <c r="D9" s="30">
        <v>15113</v>
      </c>
      <c r="E9" s="30">
        <v>2965</v>
      </c>
      <c r="F9" s="30">
        <v>122654</v>
      </c>
      <c r="G9" s="30">
        <v>7979</v>
      </c>
      <c r="H9" s="30">
        <v>594</v>
      </c>
      <c r="I9" s="30">
        <v>140</v>
      </c>
      <c r="J9" s="30">
        <v>10075</v>
      </c>
      <c r="K9" s="30">
        <v>9043</v>
      </c>
      <c r="L9" s="30">
        <v>304</v>
      </c>
      <c r="M9" s="30">
        <v>142</v>
      </c>
      <c r="N9" s="30"/>
      <c r="O9" s="30">
        <v>5</v>
      </c>
      <c r="P9" s="1"/>
    </row>
    <row r="10" spans="1:16" x14ac:dyDescent="0.25">
      <c r="A10" t="s">
        <v>34</v>
      </c>
      <c r="B10" s="30"/>
      <c r="C10" s="30"/>
      <c r="D10" s="30"/>
      <c r="E10" s="30"/>
      <c r="F10" s="30"/>
      <c r="G10" s="30"/>
      <c r="H10" s="30"/>
      <c r="I10" s="30"/>
      <c r="J10" s="30"/>
      <c r="K10" s="30"/>
      <c r="L10" s="30"/>
      <c r="M10" s="30"/>
      <c r="N10" s="30"/>
      <c r="O10" s="30"/>
    </row>
    <row r="11" spans="1:16" x14ac:dyDescent="0.25">
      <c r="A11" t="s">
        <v>35</v>
      </c>
      <c r="B11" s="30">
        <v>3180</v>
      </c>
      <c r="C11" s="30">
        <v>19</v>
      </c>
      <c r="D11" s="30">
        <v>1016</v>
      </c>
      <c r="E11" s="30">
        <v>84</v>
      </c>
      <c r="F11" s="30">
        <v>36</v>
      </c>
      <c r="G11" s="30">
        <v>66</v>
      </c>
      <c r="H11" s="30">
        <v>8</v>
      </c>
      <c r="I11" s="30">
        <v>3</v>
      </c>
      <c r="J11" s="30">
        <v>429</v>
      </c>
      <c r="K11" s="30">
        <v>244</v>
      </c>
      <c r="L11" s="30">
        <v>1</v>
      </c>
      <c r="M11" s="30">
        <v>0</v>
      </c>
      <c r="N11" s="30"/>
      <c r="O11" s="30">
        <v>0</v>
      </c>
    </row>
    <row r="12" spans="1:16" x14ac:dyDescent="0.25">
      <c r="L12" t="s">
        <v>108</v>
      </c>
    </row>
    <row r="13" spans="1:16" x14ac:dyDescent="0.25">
      <c r="A13" t="s">
        <v>36</v>
      </c>
    </row>
    <row r="14" spans="1:16" x14ac:dyDescent="0.25">
      <c r="A14" t="s">
        <v>34</v>
      </c>
    </row>
    <row r="15" spans="1:16" x14ac:dyDescent="0.25">
      <c r="A15" t="s">
        <v>35</v>
      </c>
      <c r="B15" s="1">
        <f>B11/B9</f>
        <v>3.9263621883913025E-2</v>
      </c>
      <c r="C15" s="1">
        <f t="shared" ref="C15:O15" si="0">C11/C9</f>
        <v>2.8148148148148148E-2</v>
      </c>
      <c r="D15" s="1">
        <f t="shared" si="0"/>
        <v>6.7226890756302518E-2</v>
      </c>
      <c r="E15" s="1">
        <f t="shared" si="0"/>
        <v>2.8330522765598651E-2</v>
      </c>
      <c r="F15" s="1">
        <f t="shared" si="0"/>
        <v>2.9350856881960638E-4</v>
      </c>
      <c r="G15" s="1">
        <f t="shared" si="0"/>
        <v>8.2717132472740953E-3</v>
      </c>
      <c r="H15" s="1">
        <f t="shared" si="0"/>
        <v>1.3468013468013467E-2</v>
      </c>
      <c r="I15" s="1">
        <f t="shared" si="0"/>
        <v>2.1428571428571429E-2</v>
      </c>
      <c r="J15" s="1">
        <f t="shared" si="0"/>
        <v>4.2580645161290322E-2</v>
      </c>
      <c r="K15" s="1">
        <f t="shared" si="0"/>
        <v>2.6982196173836116E-2</v>
      </c>
      <c r="L15" s="1">
        <f t="shared" si="0"/>
        <v>3.2894736842105261E-3</v>
      </c>
      <c r="M15" s="1">
        <f t="shared" si="0"/>
        <v>0</v>
      </c>
      <c r="N15" s="1"/>
      <c r="O15" s="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t="s">
        <v>58</v>
      </c>
      <c r="B18" s="1">
        <v>0.15</v>
      </c>
      <c r="C18" s="1"/>
      <c r="D18" s="1">
        <v>0.56000000000000005</v>
      </c>
      <c r="E18" s="1"/>
      <c r="F18" s="1"/>
      <c r="G18" s="1"/>
      <c r="H18" s="1"/>
      <c r="I18" s="1"/>
      <c r="J18" s="1"/>
      <c r="K18" s="1"/>
      <c r="L18" s="1">
        <v>0.13</v>
      </c>
      <c r="M18" s="1"/>
      <c r="N18" s="1"/>
    </row>
    <row r="19" spans="1:15" x14ac:dyDescent="0.25">
      <c r="A19" t="s">
        <v>59</v>
      </c>
      <c r="B19" s="1">
        <v>0.05</v>
      </c>
      <c r="C19" s="1"/>
      <c r="D19" s="1">
        <v>0.1</v>
      </c>
      <c r="E19" s="1"/>
      <c r="F19" s="1"/>
      <c r="G19" s="1"/>
      <c r="H19" s="1"/>
      <c r="I19" s="1"/>
      <c r="J19" s="1"/>
      <c r="K19" s="1"/>
      <c r="L19" s="1"/>
      <c r="M19" s="1"/>
      <c r="N19" s="1"/>
    </row>
    <row r="20" spans="1:15" x14ac:dyDescent="0.25">
      <c r="B20" s="1"/>
      <c r="C20" s="1"/>
      <c r="D20" s="1"/>
      <c r="E20" s="1"/>
      <c r="F20" s="1"/>
      <c r="G20" s="1"/>
      <c r="H20" s="1"/>
      <c r="I20" s="1"/>
      <c r="J20" s="1"/>
      <c r="K20" s="1"/>
      <c r="L20" s="1"/>
      <c r="M20" s="1"/>
      <c r="N20" s="1"/>
    </row>
    <row r="22" spans="1:15" x14ac:dyDescent="0.25">
      <c r="A22" t="s">
        <v>42</v>
      </c>
    </row>
    <row r="23" spans="1:15" x14ac:dyDescent="0.25">
      <c r="A23" t="s">
        <v>41</v>
      </c>
      <c r="B23" s="7">
        <f t="shared" ref="B23:M23" si="1">B9/B6*100000</f>
        <v>56.707253033475006</v>
      </c>
      <c r="C23" s="7">
        <f t="shared" si="1"/>
        <v>0.53233438485804419</v>
      </c>
      <c r="D23" s="7">
        <f t="shared" si="1"/>
        <v>24.988425925925927</v>
      </c>
      <c r="E23" s="7">
        <f t="shared" si="1"/>
        <v>6.354479211315903</v>
      </c>
      <c r="F23" s="7">
        <f t="shared" si="1"/>
        <v>37.485941320293399</v>
      </c>
      <c r="G23" s="7">
        <f t="shared" si="1"/>
        <v>15.50223431124927</v>
      </c>
      <c r="H23" s="7">
        <f t="shared" si="1"/>
        <v>0.89403973509933776</v>
      </c>
      <c r="I23" s="7">
        <f t="shared" si="1"/>
        <v>0.56910569105691056</v>
      </c>
      <c r="J23" s="7">
        <f t="shared" si="1"/>
        <v>12.413750616067029</v>
      </c>
      <c r="K23" s="7">
        <f t="shared" ref="K23" si="2">K9/K6*100000</f>
        <v>13.499029705926258</v>
      </c>
      <c r="L23" s="7">
        <f t="shared" si="1"/>
        <v>0.80872572492684225</v>
      </c>
      <c r="M23" s="7">
        <f t="shared" si="1"/>
        <v>0.96864747343995916</v>
      </c>
      <c r="N23" s="7"/>
      <c r="O23" s="8">
        <f>D23*$O$6/100000</f>
        <v>138.11465341435186</v>
      </c>
    </row>
    <row r="24" spans="1:15" x14ac:dyDescent="0.25">
      <c r="A24" t="s">
        <v>34</v>
      </c>
      <c r="O24" s="27">
        <f>O23*D18</f>
        <v>77.344205912037054</v>
      </c>
    </row>
    <row r="25" spans="1:15" x14ac:dyDescent="0.25">
      <c r="A25" t="s">
        <v>35</v>
      </c>
      <c r="B25" s="7">
        <f>B11/B6*100000</f>
        <v>2.2265321411817425</v>
      </c>
      <c r="C25" s="7">
        <f t="shared" ref="C25:M25" si="3">C11/C6*100000</f>
        <v>1.498422712933754E-2</v>
      </c>
      <c r="D25" s="7">
        <f t="shared" si="3"/>
        <v>1.67989417989418</v>
      </c>
      <c r="E25" s="7">
        <f t="shared" si="3"/>
        <v>0.18002571795970854</v>
      </c>
      <c r="F25" s="7">
        <f t="shared" si="3"/>
        <v>1.1002444987775062E-2</v>
      </c>
      <c r="G25" s="7">
        <f t="shared" si="3"/>
        <v>0.12823003691470761</v>
      </c>
      <c r="H25" s="7">
        <f t="shared" si="3"/>
        <v>1.2040939193257074E-2</v>
      </c>
      <c r="I25" s="7">
        <f t="shared" si="3"/>
        <v>1.2195121951219511E-2</v>
      </c>
      <c r="J25" s="7">
        <f t="shared" si="3"/>
        <v>0.5285855101034993</v>
      </c>
      <c r="K25" s="7">
        <f t="shared" ref="K25" si="4">K11/K6*100000</f>
        <v>0.36423346768174353</v>
      </c>
      <c r="L25" s="7">
        <f t="shared" si="3"/>
        <v>2.6602819898909284E-3</v>
      </c>
      <c r="M25" s="7">
        <f t="shared" si="3"/>
        <v>0</v>
      </c>
      <c r="N25" s="7"/>
      <c r="O25" s="8">
        <f>D25*$O$6/100000</f>
        <v>9.2850187169312175</v>
      </c>
    </row>
    <row r="26" spans="1:15" x14ac:dyDescent="0.25">
      <c r="O26" s="27">
        <f>O23*D19</f>
        <v>13.811465341435188</v>
      </c>
    </row>
    <row r="28" spans="1:15" x14ac:dyDescent="0.25">
      <c r="A28" s="10" t="s">
        <v>74</v>
      </c>
    </row>
    <row r="31" spans="1:15" x14ac:dyDescent="0.25">
      <c r="A31" t="s">
        <v>48</v>
      </c>
      <c r="B31" s="7">
        <f>B23*$L$6/100000</f>
        <v>21316.256415283257</v>
      </c>
      <c r="C31" s="7">
        <f t="shared" ref="C31:M31" si="5">C23*$L$6/100000</f>
        <v>200.10449526813881</v>
      </c>
      <c r="D31" s="7">
        <f t="shared" si="5"/>
        <v>9393.1493055555566</v>
      </c>
      <c r="E31" s="7">
        <f t="shared" si="5"/>
        <v>2388.6487355336481</v>
      </c>
      <c r="F31" s="7">
        <f t="shared" si="5"/>
        <v>14090.965342298288</v>
      </c>
      <c r="G31" s="7">
        <f t="shared" si="5"/>
        <v>5827.2898775986005</v>
      </c>
      <c r="H31" s="7">
        <f t="shared" si="5"/>
        <v>336.06953642384104</v>
      </c>
      <c r="I31" s="7">
        <f t="shared" si="5"/>
        <v>213.92682926829266</v>
      </c>
      <c r="J31" s="7"/>
      <c r="K31" s="7"/>
      <c r="L31" s="7">
        <f t="shared" si="5"/>
        <v>304</v>
      </c>
      <c r="M31" s="7">
        <f t="shared" si="5"/>
        <v>364.11458526608067</v>
      </c>
      <c r="N31" s="7"/>
    </row>
    <row r="32" spans="1:15" x14ac:dyDescent="0.25">
      <c r="B32" s="7"/>
      <c r="C32" s="7"/>
      <c r="D32" s="7"/>
      <c r="E32" s="7"/>
      <c r="F32" s="7"/>
      <c r="G32" s="7"/>
      <c r="H32" s="7"/>
      <c r="I32" s="7"/>
      <c r="J32" s="7"/>
      <c r="K32" s="7"/>
      <c r="L32" s="7"/>
      <c r="M32" s="7"/>
      <c r="N32" s="7"/>
    </row>
    <row r="33" spans="1:14" x14ac:dyDescent="0.25">
      <c r="A33" t="s">
        <v>49</v>
      </c>
      <c r="B33" s="7">
        <f>B25*$L$6/100000</f>
        <v>836.95343187021706</v>
      </c>
      <c r="C33" s="7">
        <f t="shared" ref="C33:M33" si="6">C25*$L$6/100000</f>
        <v>5.6325709779179816</v>
      </c>
      <c r="D33" s="7">
        <f t="shared" si="6"/>
        <v>631.47222222222229</v>
      </c>
      <c r="E33" s="7">
        <f t="shared" si="6"/>
        <v>67.671667381054448</v>
      </c>
      <c r="F33" s="7">
        <f t="shared" si="6"/>
        <v>4.1358190709046454</v>
      </c>
      <c r="G33" s="7">
        <f t="shared" si="6"/>
        <v>48.201670876238587</v>
      </c>
      <c r="H33" s="7">
        <f t="shared" si="6"/>
        <v>4.526189042745334</v>
      </c>
      <c r="I33" s="7">
        <f t="shared" si="6"/>
        <v>4.5841463414634145</v>
      </c>
      <c r="J33" s="7"/>
      <c r="K33" s="7"/>
      <c r="L33" s="7">
        <f t="shared" si="6"/>
        <v>1</v>
      </c>
      <c r="M33" s="7">
        <f t="shared" si="6"/>
        <v>0</v>
      </c>
      <c r="N33" s="7"/>
    </row>
    <row r="35" spans="1:14" x14ac:dyDescent="0.25">
      <c r="A35" t="s">
        <v>48</v>
      </c>
      <c r="B35" t="s">
        <v>75</v>
      </c>
    </row>
    <row r="36" spans="1:14" x14ac:dyDescent="0.25">
      <c r="A36" t="s">
        <v>50</v>
      </c>
      <c r="B36" s="7">
        <f>MIN($B$31:$M$31)</f>
        <v>200.10449526813881</v>
      </c>
      <c r="C36" s="7"/>
    </row>
    <row r="37" spans="1:14" x14ac:dyDescent="0.25">
      <c r="A37" t="s">
        <v>51</v>
      </c>
      <c r="B37" s="7">
        <f>MAX(B31:M31)</f>
        <v>21316.256415283257</v>
      </c>
      <c r="C37">
        <f>B37*1.6%</f>
        <v>341.06010264453209</v>
      </c>
      <c r="D37" t="s">
        <v>78</v>
      </c>
    </row>
    <row r="39" spans="1:14" x14ac:dyDescent="0.25">
      <c r="A39" t="s">
        <v>49</v>
      </c>
    </row>
    <row r="40" spans="1:14" x14ac:dyDescent="0.25">
      <c r="A40" t="s">
        <v>50</v>
      </c>
      <c r="B40" s="7">
        <f>MIN(B33:M33)</f>
        <v>0</v>
      </c>
    </row>
    <row r="41" spans="1:14" x14ac:dyDescent="0.25">
      <c r="A41" t="s">
        <v>51</v>
      </c>
      <c r="B41" s="7">
        <f>MAX($B$33:$M$33)</f>
        <v>836.95343187021706</v>
      </c>
      <c r="C41">
        <f>B41*1.6%</f>
        <v>13.391254909923473</v>
      </c>
      <c r="D41" t="s">
        <v>78</v>
      </c>
    </row>
    <row r="42" spans="1:14" x14ac:dyDescent="0.25">
      <c r="B42" s="7"/>
    </row>
    <row r="43" spans="1:14" x14ac:dyDescent="0.25">
      <c r="A43" t="s">
        <v>63</v>
      </c>
      <c r="B43" s="7" t="s">
        <v>65</v>
      </c>
      <c r="C43" t="s">
        <v>66</v>
      </c>
    </row>
    <row r="44" spans="1:14" x14ac:dyDescent="0.25">
      <c r="A44" t="s">
        <v>50</v>
      </c>
      <c r="B44" s="7">
        <f>B18*L9</f>
        <v>45.6</v>
      </c>
      <c r="C44" s="7">
        <f>B36*B18</f>
        <v>30.015674290220819</v>
      </c>
    </row>
    <row r="45" spans="1:14" x14ac:dyDescent="0.25">
      <c r="A45" t="s">
        <v>51</v>
      </c>
      <c r="B45" s="7">
        <f>L9*D18</f>
        <v>170.24</v>
      </c>
      <c r="C45" s="7">
        <f>B37*D18</f>
        <v>11937.103592558626</v>
      </c>
      <c r="D45">
        <f>C45*1.6%</f>
        <v>190.99365748093803</v>
      </c>
      <c r="E45" t="s">
        <v>78</v>
      </c>
    </row>
    <row r="46" spans="1:14" x14ac:dyDescent="0.25">
      <c r="B46" s="7"/>
    </row>
    <row r="47" spans="1:14" x14ac:dyDescent="0.25">
      <c r="A47" t="s">
        <v>64</v>
      </c>
      <c r="B47" s="7" t="s">
        <v>77</v>
      </c>
      <c r="C47" t="s">
        <v>76</v>
      </c>
    </row>
    <row r="48" spans="1:14" x14ac:dyDescent="0.25">
      <c r="A48" t="s">
        <v>50</v>
      </c>
      <c r="B48" s="7"/>
    </row>
    <row r="49" spans="1:14" x14ac:dyDescent="0.25">
      <c r="A49" t="s">
        <v>51</v>
      </c>
      <c r="B49" s="7">
        <f>L9*D19</f>
        <v>30.400000000000002</v>
      </c>
      <c r="C49" s="7">
        <f>B37*D19</f>
        <v>2131.6256415283256</v>
      </c>
      <c r="D49">
        <f>C49*1.6%</f>
        <v>34.106010264453211</v>
      </c>
      <c r="E49" t="s">
        <v>78</v>
      </c>
    </row>
    <row r="52" spans="1:14" x14ac:dyDescent="0.25">
      <c r="A52" s="10" t="s">
        <v>47</v>
      </c>
    </row>
    <row r="54" spans="1:14" x14ac:dyDescent="0.25">
      <c r="A54" t="s">
        <v>48</v>
      </c>
      <c r="B54" s="7">
        <f>B23*$M$6/100000</f>
        <v>8313.065538855788</v>
      </c>
      <c r="C54" s="7">
        <f t="shared" ref="C54:M54" si="7">C23*$M$6/100000</f>
        <v>78.038176656151421</v>
      </c>
      <c r="D54" s="7">
        <f t="shared" si="7"/>
        <v>3663.2072851851858</v>
      </c>
      <c r="E54" s="7">
        <f t="shared" si="7"/>
        <v>931.54225117874</v>
      </c>
      <c r="F54" s="7">
        <f t="shared" si="7"/>
        <v>5495.2950515403427</v>
      </c>
      <c r="G54" s="7">
        <f t="shared" si="7"/>
        <v>2272.5680214493877</v>
      </c>
      <c r="H54" s="7">
        <f t="shared" si="7"/>
        <v>131.06279205298014</v>
      </c>
      <c r="I54" s="7">
        <f t="shared" si="7"/>
        <v>83.428708943089433</v>
      </c>
      <c r="J54" s="7"/>
      <c r="K54" s="7"/>
      <c r="L54" s="7">
        <f t="shared" si="7"/>
        <v>118.55608576749135</v>
      </c>
      <c r="M54" s="7">
        <f t="shared" si="7"/>
        <v>142</v>
      </c>
      <c r="N54" s="7"/>
    </row>
    <row r="55" spans="1:14" x14ac:dyDescent="0.25">
      <c r="B55" s="7"/>
      <c r="C55" s="7"/>
      <c r="D55" s="7"/>
      <c r="E55" s="7"/>
      <c r="F55" s="7"/>
      <c r="G55" s="7"/>
      <c r="H55" s="7"/>
      <c r="I55" s="7"/>
      <c r="J55" s="7"/>
      <c r="K55" s="7"/>
      <c r="L55" s="7"/>
      <c r="M55" s="7"/>
      <c r="N55" s="7"/>
    </row>
    <row r="56" spans="1:14" x14ac:dyDescent="0.25">
      <c r="A56" t="s">
        <v>49</v>
      </c>
      <c r="B56" s="7">
        <f t="shared" ref="B56:M56" si="8">B25*$M$6/100000</f>
        <v>326.40106201382133</v>
      </c>
      <c r="C56" s="7">
        <f t="shared" si="8"/>
        <v>2.1966301577287068</v>
      </c>
      <c r="D56" s="7">
        <f t="shared" si="8"/>
        <v>246.26603597883602</v>
      </c>
      <c r="E56" s="7">
        <f t="shared" si="8"/>
        <v>26.391078954136308</v>
      </c>
      <c r="F56" s="7">
        <f t="shared" si="8"/>
        <v>1.612916185819071</v>
      </c>
      <c r="G56" s="7">
        <f t="shared" si="8"/>
        <v>18.798031008354382</v>
      </c>
      <c r="H56" s="7">
        <f t="shared" si="8"/>
        <v>1.7651554485249847</v>
      </c>
      <c r="I56" s="7">
        <f t="shared" si="8"/>
        <v>1.7877580487804878</v>
      </c>
      <c r="J56" s="7"/>
      <c r="K56" s="7"/>
      <c r="L56" s="7">
        <f t="shared" si="8"/>
        <v>0.3899871242351689</v>
      </c>
      <c r="M56" s="7">
        <f t="shared" si="8"/>
        <v>0</v>
      </c>
      <c r="N56" s="7"/>
    </row>
    <row r="58" spans="1:14" x14ac:dyDescent="0.25">
      <c r="A58" t="s">
        <v>48</v>
      </c>
    </row>
    <row r="59" spans="1:14" x14ac:dyDescent="0.25">
      <c r="A59" t="s">
        <v>50</v>
      </c>
      <c r="B59" s="7">
        <f>MIN($B$54:$M$54)</f>
        <v>78.038176656151421</v>
      </c>
    </row>
    <row r="60" spans="1:14" x14ac:dyDescent="0.25">
      <c r="A60" t="s">
        <v>51</v>
      </c>
      <c r="B60" s="7">
        <f>MAX($B$54:$M$54)</f>
        <v>8313.065538855788</v>
      </c>
    </row>
    <row r="62" spans="1:14" x14ac:dyDescent="0.25">
      <c r="A62" t="s">
        <v>49</v>
      </c>
    </row>
    <row r="63" spans="1:14" x14ac:dyDescent="0.25">
      <c r="A63" t="s">
        <v>50</v>
      </c>
      <c r="B63" s="7">
        <f>MIN($B$56:$M$56)</f>
        <v>0</v>
      </c>
    </row>
    <row r="64" spans="1:14" x14ac:dyDescent="0.25">
      <c r="A64" t="s">
        <v>51</v>
      </c>
      <c r="B64" s="7">
        <f>MAX($B$56:$M$56)</f>
        <v>326.40106201382133</v>
      </c>
    </row>
    <row r="65" spans="1:14" x14ac:dyDescent="0.25">
      <c r="B65" s="7"/>
    </row>
    <row r="66" spans="1:14" x14ac:dyDescent="0.25">
      <c r="A66" t="s">
        <v>63</v>
      </c>
      <c r="B66" s="7" t="s">
        <v>77</v>
      </c>
      <c r="C66" t="s">
        <v>76</v>
      </c>
    </row>
    <row r="67" spans="1:14" x14ac:dyDescent="0.25">
      <c r="A67" t="s">
        <v>50</v>
      </c>
      <c r="B67" s="7">
        <f>B18*M9</f>
        <v>21.3</v>
      </c>
    </row>
    <row r="68" spans="1:14" x14ac:dyDescent="0.25">
      <c r="A68" t="s">
        <v>51</v>
      </c>
      <c r="B68" s="7">
        <f>D18*M9</f>
        <v>79.52000000000001</v>
      </c>
      <c r="C68" s="7">
        <f>B60*D18</f>
        <v>4655.3167017592414</v>
      </c>
    </row>
    <row r="69" spans="1:14" x14ac:dyDescent="0.25">
      <c r="B69" s="7"/>
    </row>
    <row r="70" spans="1:14" x14ac:dyDescent="0.25">
      <c r="A70" t="s">
        <v>64</v>
      </c>
      <c r="B70" s="7" t="s">
        <v>77</v>
      </c>
      <c r="C70" t="s">
        <v>76</v>
      </c>
    </row>
    <row r="71" spans="1:14" x14ac:dyDescent="0.25">
      <c r="A71" t="s">
        <v>50</v>
      </c>
      <c r="B71" s="7">
        <f>B19*M9</f>
        <v>7.1000000000000005</v>
      </c>
    </row>
    <row r="72" spans="1:14" x14ac:dyDescent="0.25">
      <c r="A72" t="s">
        <v>51</v>
      </c>
      <c r="B72">
        <f>D19*M9</f>
        <v>14.200000000000001</v>
      </c>
      <c r="C72" s="7">
        <f>B60*D19</f>
        <v>831.30655388557886</v>
      </c>
    </row>
    <row r="74" spans="1:14" x14ac:dyDescent="0.25">
      <c r="A74" s="10" t="s">
        <v>52</v>
      </c>
    </row>
    <row r="76" spans="1:14" x14ac:dyDescent="0.25">
      <c r="A76" t="s">
        <v>48</v>
      </c>
      <c r="B76" s="7">
        <f>B23*$O$6/100000</f>
        <v>313.42921006770621</v>
      </c>
      <c r="C76" s="7">
        <f t="shared" ref="C76:M78" si="9">C23*$O$6/100000</f>
        <v>2.9422893335962144</v>
      </c>
      <c r="D76" s="7">
        <f t="shared" si="9"/>
        <v>138.11465341435186</v>
      </c>
      <c r="E76" s="7">
        <f t="shared" si="9"/>
        <v>35.122128000428631</v>
      </c>
      <c r="F76" s="7">
        <f t="shared" si="9"/>
        <v>207.19023313875306</v>
      </c>
      <c r="G76" s="7">
        <f t="shared" si="9"/>
        <v>85.68309686224984</v>
      </c>
      <c r="H76" s="7">
        <f t="shared" si="9"/>
        <v>4.9414872516556292</v>
      </c>
      <c r="I76" s="7">
        <f t="shared" si="9"/>
        <v>3.1455296747967481</v>
      </c>
      <c r="J76" s="7"/>
      <c r="K76" s="7"/>
      <c r="L76" s="7">
        <f t="shared" si="9"/>
        <v>4.4699443469007711</v>
      </c>
      <c r="M76" s="7">
        <f t="shared" si="9"/>
        <v>5.3538550395863025</v>
      </c>
      <c r="N76" s="7"/>
    </row>
    <row r="77" spans="1:14" x14ac:dyDescent="0.25">
      <c r="B77" s="7"/>
      <c r="C77" s="7"/>
      <c r="D77" s="7"/>
      <c r="E77" s="7"/>
      <c r="F77" s="7"/>
      <c r="G77" s="7"/>
      <c r="H77" s="7"/>
      <c r="I77" s="7"/>
      <c r="J77" s="7"/>
      <c r="K77" s="7"/>
      <c r="L77" s="7"/>
      <c r="M77" s="7"/>
      <c r="N77" s="7"/>
    </row>
    <row r="78" spans="1:14" x14ac:dyDescent="0.25">
      <c r="A78" t="s">
        <v>49</v>
      </c>
      <c r="B78" s="7">
        <f>B25*$O$6/100000</f>
        <v>12.306365991471962</v>
      </c>
      <c r="C78" s="7">
        <f t="shared" si="9"/>
        <v>8.2819996056782336E-2</v>
      </c>
      <c r="D78" s="7">
        <f t="shared" si="9"/>
        <v>9.2850187169312175</v>
      </c>
      <c r="E78" s="7">
        <f t="shared" si="9"/>
        <v>0.99502824689241332</v>
      </c>
      <c r="F78" s="7">
        <f t="shared" si="9"/>
        <v>6.0812108801955991E-2</v>
      </c>
      <c r="G78" s="7">
        <f t="shared" si="9"/>
        <v>0.70874600738294158</v>
      </c>
      <c r="H78" s="7">
        <f t="shared" si="9"/>
        <v>6.6552016857314877E-2</v>
      </c>
      <c r="I78" s="7">
        <f t="shared" si="9"/>
        <v>6.7404207317073153E-2</v>
      </c>
      <c r="J78" s="7"/>
      <c r="K78" s="7"/>
      <c r="L78" s="7">
        <f t="shared" si="9"/>
        <v>1.4703764299015695E-2</v>
      </c>
      <c r="M78" s="7">
        <f t="shared" si="9"/>
        <v>0</v>
      </c>
      <c r="N78" s="7"/>
    </row>
    <row r="80" spans="1:14" x14ac:dyDescent="0.25">
      <c r="A80" t="s">
        <v>48</v>
      </c>
      <c r="B80" t="s">
        <v>72</v>
      </c>
      <c r="C80" t="s">
        <v>73</v>
      </c>
    </row>
    <row r="81" spans="1:3" x14ac:dyDescent="0.25">
      <c r="A81" t="s">
        <v>50</v>
      </c>
      <c r="B81" s="7">
        <f>MIN($B$76:$M$76)</f>
        <v>2.9422893335962144</v>
      </c>
      <c r="C81" s="7">
        <f>MIN($C$76:$M$76)</f>
        <v>2.9422893335962144</v>
      </c>
    </row>
    <row r="82" spans="1:3" x14ac:dyDescent="0.25">
      <c r="A82" t="s">
        <v>51</v>
      </c>
      <c r="B82" s="7">
        <f>MAX($B$76:$M$76)</f>
        <v>313.42921006770621</v>
      </c>
      <c r="C82" s="7">
        <f>MAX($C$76:$M$76)</f>
        <v>207.19023313875306</v>
      </c>
    </row>
    <row r="84" spans="1:3" x14ac:dyDescent="0.25">
      <c r="A84" t="s">
        <v>49</v>
      </c>
    </row>
    <row r="85" spans="1:3" x14ac:dyDescent="0.25">
      <c r="A85" t="s">
        <v>50</v>
      </c>
      <c r="B85" s="7">
        <f>MIN($B$78:$M$78)</f>
        <v>0</v>
      </c>
      <c r="C85" s="7">
        <f>MIN($C$78:$M$78)</f>
        <v>0</v>
      </c>
    </row>
    <row r="86" spans="1:3" x14ac:dyDescent="0.25">
      <c r="A86" t="s">
        <v>51</v>
      </c>
      <c r="B86" s="7">
        <f>MAX($B$78:$M$78)</f>
        <v>12.306365991471962</v>
      </c>
      <c r="C86" s="7">
        <f>MAX($C$78:$M$78)</f>
        <v>9.2850187169312175</v>
      </c>
    </row>
    <row r="88" spans="1:3" x14ac:dyDescent="0.25">
      <c r="A88" t="s">
        <v>27</v>
      </c>
    </row>
    <row r="89" spans="1:3" x14ac:dyDescent="0.25">
      <c r="A89" t="s">
        <v>50</v>
      </c>
    </row>
    <row r="90" spans="1:3" x14ac:dyDescent="0.25">
      <c r="A90" t="s">
        <v>51</v>
      </c>
      <c r="B90" s="7">
        <f>B82*$D$18</f>
        <v>175.52035763791548</v>
      </c>
      <c r="C90" s="7">
        <f>C82*$D$18</f>
        <v>116.02653055770172</v>
      </c>
    </row>
    <row r="91" spans="1:3" x14ac:dyDescent="0.25">
      <c r="B91" s="7"/>
    </row>
    <row r="92" spans="1:3" x14ac:dyDescent="0.25">
      <c r="A92" t="s">
        <v>62</v>
      </c>
      <c r="B92" s="7"/>
    </row>
    <row r="93" spans="1:3" x14ac:dyDescent="0.25">
      <c r="A93" t="s">
        <v>50</v>
      </c>
      <c r="B93" s="7"/>
    </row>
    <row r="94" spans="1:3" x14ac:dyDescent="0.25">
      <c r="A94" t="s">
        <v>51</v>
      </c>
      <c r="B94" s="7">
        <f>B82*$D$19</f>
        <v>31.342921006770624</v>
      </c>
      <c r="C94" s="7">
        <f>C82*$D$19</f>
        <v>20.719023313875308</v>
      </c>
    </row>
  </sheetData>
  <hyperlinks>
    <hyperlink ref="D17" r:id="rId1" xr:uid="{C5A90CEB-29B6-456C-BB18-20046FCC9E6A}"/>
    <hyperlink ref="B17" r:id="rId2" xr:uid="{1840D10D-A1B4-4CFB-966A-EE2F9D4F35A7}"/>
    <hyperlink ref="B1" r:id="rId3" xr:uid="{24324F20-3028-48CC-B7D9-1DA1D1D202F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E6CB0-347E-4FE4-9C44-5D8DC7298150}">
  <dimension ref="A1:P94"/>
  <sheetViews>
    <sheetView zoomScale="131" workbookViewId="0">
      <selection activeCell="A76" sqref="A76:C77"/>
    </sheetView>
  </sheetViews>
  <sheetFormatPr defaultRowHeight="15" x14ac:dyDescent="0.25"/>
  <cols>
    <col min="1" max="1" width="25.7109375" customWidth="1"/>
    <col min="2" max="2" width="14.7109375" bestFit="1" customWidth="1"/>
    <col min="3" max="3" width="13.140625" customWidth="1"/>
    <col min="4" max="5" width="13.5703125" bestFit="1" customWidth="1"/>
    <col min="6" max="6" width="14.7109375" bestFit="1" customWidth="1"/>
    <col min="7" max="9" width="13.5703125" bestFit="1" customWidth="1"/>
    <col min="10" max="11" width="12.140625" customWidth="1"/>
    <col min="12" max="13" width="13.5703125" bestFit="1" customWidth="1"/>
    <col min="14" max="14" width="12.140625" customWidth="1"/>
    <col min="15" max="15" width="16.140625" bestFit="1" customWidth="1"/>
  </cols>
  <sheetData>
    <row r="1" spans="1:16" x14ac:dyDescent="0.25">
      <c r="A1" s="26">
        <v>43918</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132</v>
      </c>
      <c r="C4" s="54">
        <v>72</v>
      </c>
      <c r="D4" s="54">
        <v>57</v>
      </c>
      <c r="E4" s="54">
        <v>57</v>
      </c>
      <c r="F4" s="54">
        <v>67</v>
      </c>
      <c r="G4" s="54">
        <v>67</v>
      </c>
      <c r="H4" s="54">
        <v>57</v>
      </c>
      <c r="I4" s="54">
        <v>63</v>
      </c>
      <c r="J4" s="54">
        <v>38</v>
      </c>
      <c r="K4" s="57">
        <v>38</v>
      </c>
      <c r="L4" s="62">
        <v>63</v>
      </c>
      <c r="M4" s="54">
        <v>63</v>
      </c>
      <c r="N4" s="54">
        <v>63</v>
      </c>
      <c r="O4" s="67">
        <v>23</v>
      </c>
    </row>
    <row r="5" spans="1:16" x14ac:dyDescent="0.25">
      <c r="A5" s="48" t="s">
        <v>33</v>
      </c>
      <c r="B5" s="48"/>
      <c r="C5" s="48"/>
      <c r="D5" s="48"/>
      <c r="E5" s="48"/>
      <c r="F5" s="48"/>
      <c r="G5" s="48"/>
      <c r="H5" s="48"/>
      <c r="I5" s="48"/>
      <c r="J5" s="48"/>
      <c r="K5" s="55"/>
      <c r="L5" s="60"/>
      <c r="M5" s="48"/>
      <c r="N5" s="48"/>
      <c r="O5" s="67"/>
    </row>
    <row r="6" spans="1:16" x14ac:dyDescent="0.25">
      <c r="A6" s="48" t="s">
        <v>32</v>
      </c>
      <c r="B6" s="43">
        <v>142823000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82230</v>
      </c>
      <c r="C9" s="54">
        <v>1499</v>
      </c>
      <c r="D9" s="54">
        <v>86498</v>
      </c>
      <c r="E9" s="54">
        <v>64059</v>
      </c>
      <c r="F9" s="54">
        <v>85228</v>
      </c>
      <c r="G9" s="54">
        <v>9478</v>
      </c>
      <c r="H9" s="54">
        <v>14547</v>
      </c>
      <c r="I9" s="54">
        <v>3635</v>
      </c>
      <c r="J9" s="54">
        <v>32332</v>
      </c>
      <c r="K9" s="57">
        <v>32542</v>
      </c>
      <c r="L9" s="62">
        <v>5652</v>
      </c>
      <c r="M9" s="54">
        <v>1144</v>
      </c>
      <c r="N9" s="54">
        <v>512</v>
      </c>
      <c r="O9" s="67">
        <v>69</v>
      </c>
      <c r="P9" s="1"/>
    </row>
    <row r="10" spans="1:16" x14ac:dyDescent="0.25">
      <c r="A10" s="48" t="s">
        <v>34</v>
      </c>
      <c r="B10" s="54"/>
      <c r="C10" s="54"/>
      <c r="D10" s="54"/>
      <c r="E10" s="54"/>
      <c r="F10" s="54"/>
      <c r="G10" s="54"/>
      <c r="H10" s="54"/>
      <c r="I10" s="54"/>
      <c r="J10" s="54"/>
      <c r="K10" s="57"/>
      <c r="L10" s="62"/>
      <c r="M10" s="54"/>
      <c r="N10" s="54">
        <v>36</v>
      </c>
      <c r="O10" s="67">
        <v>11</v>
      </c>
    </row>
    <row r="11" spans="1:16" x14ac:dyDescent="0.25">
      <c r="A11" s="48" t="s">
        <v>35</v>
      </c>
      <c r="B11" s="54">
        <v>3301</v>
      </c>
      <c r="C11" s="54">
        <v>49</v>
      </c>
      <c r="D11" s="54">
        <v>9136</v>
      </c>
      <c r="E11" s="54">
        <v>4858</v>
      </c>
      <c r="F11" s="54">
        <v>1243</v>
      </c>
      <c r="G11" s="54">
        <v>144</v>
      </c>
      <c r="H11" s="54">
        <v>759</v>
      </c>
      <c r="I11" s="54">
        <v>650</v>
      </c>
      <c r="J11" s="54">
        <v>2378</v>
      </c>
      <c r="K11" s="57">
        <v>1992</v>
      </c>
      <c r="L11" s="62">
        <v>61</v>
      </c>
      <c r="M11" s="54">
        <v>19</v>
      </c>
      <c r="N11" s="54">
        <v>4</v>
      </c>
      <c r="O11" s="67">
        <v>0</v>
      </c>
    </row>
    <row r="13" spans="1:16" x14ac:dyDescent="0.25">
      <c r="A13" s="48" t="s">
        <v>36</v>
      </c>
      <c r="B13" s="48"/>
      <c r="C13" s="48"/>
      <c r="D13" s="48"/>
      <c r="E13" s="48"/>
      <c r="F13" s="48"/>
      <c r="G13" s="48"/>
      <c r="H13" s="48"/>
      <c r="I13" s="48"/>
      <c r="J13" s="48"/>
      <c r="K13" s="48"/>
      <c r="L13" s="48"/>
      <c r="M13" s="48"/>
      <c r="N13" s="48"/>
      <c r="O13" s="48"/>
    </row>
    <row r="14" spans="1:16" x14ac:dyDescent="0.25">
      <c r="A14" s="48" t="s">
        <v>34</v>
      </c>
      <c r="B14" s="48"/>
      <c r="C14" s="48"/>
      <c r="D14" s="48"/>
      <c r="E14" s="48"/>
      <c r="F14" s="48"/>
      <c r="G14" s="48"/>
      <c r="H14" s="48"/>
      <c r="I14" s="48"/>
      <c r="J14" s="48"/>
      <c r="K14" s="48"/>
      <c r="L14" s="48"/>
      <c r="M14" s="48"/>
      <c r="N14" s="48"/>
      <c r="O14" s="48"/>
    </row>
    <row r="15" spans="1:16" x14ac:dyDescent="0.25">
      <c r="A15" s="48" t="s">
        <v>35</v>
      </c>
      <c r="B15" s="71">
        <f>B11/B9</f>
        <v>4.0143499939194943E-2</v>
      </c>
      <c r="C15" s="71">
        <f t="shared" ref="C15:O15" si="0">C11/C9</f>
        <v>3.2688458972648431E-2</v>
      </c>
      <c r="D15" s="71">
        <f t="shared" si="0"/>
        <v>0.10562093921246735</v>
      </c>
      <c r="E15" s="71">
        <f t="shared" si="0"/>
        <v>7.5836338375560031E-2</v>
      </c>
      <c r="F15" s="71">
        <f t="shared" si="0"/>
        <v>1.4584408879710893E-2</v>
      </c>
      <c r="G15" s="71">
        <f t="shared" si="0"/>
        <v>1.519307870858831E-2</v>
      </c>
      <c r="H15" s="71">
        <f t="shared" si="0"/>
        <v>5.2175706331202311E-2</v>
      </c>
      <c r="I15" s="71">
        <f t="shared" si="0"/>
        <v>0.17881705639614856</v>
      </c>
      <c r="J15" s="71">
        <f t="shared" si="0"/>
        <v>7.3549424718545101E-2</v>
      </c>
      <c r="K15" s="71">
        <f t="shared" si="0"/>
        <v>6.1213201401266057E-2</v>
      </c>
      <c r="L15" s="71">
        <f t="shared" si="0"/>
        <v>1.0792639773531494E-2</v>
      </c>
      <c r="M15" s="71">
        <f t="shared" si="0"/>
        <v>1.6608391608391608E-2</v>
      </c>
      <c r="N15" s="71">
        <f t="shared" si="0"/>
        <v>7.8125E-3</v>
      </c>
      <c r="O15" s="71">
        <f t="shared" si="0"/>
        <v>0</v>
      </c>
    </row>
    <row r="16" spans="1:16" x14ac:dyDescent="0.25">
      <c r="B16" s="1"/>
      <c r="C16" s="1"/>
      <c r="D16" s="1"/>
      <c r="E16" s="1"/>
      <c r="F16" s="1"/>
      <c r="G16" s="1"/>
      <c r="H16" s="1"/>
      <c r="I16" s="1"/>
      <c r="J16" s="1"/>
      <c r="K16" s="1"/>
      <c r="L16" s="1"/>
      <c r="M16" s="1"/>
      <c r="N16" s="1"/>
    </row>
    <row r="17" spans="1:15" x14ac:dyDescent="0.25">
      <c r="B17" s="11" t="s">
        <v>61</v>
      </c>
      <c r="C17" s="1"/>
      <c r="D17" s="11" t="s">
        <v>60</v>
      </c>
      <c r="E17" s="1"/>
      <c r="F17" s="1"/>
      <c r="G17" s="1"/>
      <c r="H17" s="1"/>
      <c r="I17" s="1"/>
      <c r="J17" s="1"/>
      <c r="K17" s="1"/>
      <c r="L17" s="1"/>
      <c r="M17" s="1"/>
      <c r="N17" s="1"/>
    </row>
    <row r="18" spans="1:15" x14ac:dyDescent="0.25">
      <c r="A18" s="48" t="s">
        <v>58</v>
      </c>
      <c r="B18" s="72">
        <v>0.15</v>
      </c>
      <c r="C18" s="72"/>
      <c r="D18" s="72">
        <v>0.56000000000000005</v>
      </c>
      <c r="E18" s="72"/>
      <c r="F18" s="72"/>
      <c r="G18" s="72"/>
      <c r="H18" s="72"/>
      <c r="I18" s="72"/>
      <c r="J18" s="72"/>
      <c r="K18" s="72"/>
      <c r="L18" s="72">
        <v>0.13</v>
      </c>
      <c r="M18" s="72"/>
      <c r="N18" s="72">
        <f>N10/N9</f>
        <v>7.03125E-2</v>
      </c>
      <c r="O18" s="72">
        <f>O10/O9</f>
        <v>0.15942028985507245</v>
      </c>
    </row>
    <row r="19" spans="1:15" x14ac:dyDescent="0.25">
      <c r="A19" s="48" t="s">
        <v>59</v>
      </c>
      <c r="B19" s="72">
        <v>0.05</v>
      </c>
      <c r="C19" s="72"/>
      <c r="D19" s="72">
        <v>0.1</v>
      </c>
      <c r="E19" s="72"/>
      <c r="F19" s="72"/>
      <c r="G19" s="72"/>
      <c r="H19" s="72"/>
      <c r="I19" s="72"/>
      <c r="J19" s="72"/>
      <c r="K19" s="72"/>
      <c r="L19" s="72"/>
      <c r="M19" s="72"/>
      <c r="N19" s="72">
        <v>0.04</v>
      </c>
      <c r="O19" s="73"/>
    </row>
    <row r="20" spans="1:15" x14ac:dyDescent="0.25">
      <c r="B20" s="1"/>
      <c r="C20" s="1"/>
      <c r="D20" s="1"/>
      <c r="E20" s="1"/>
      <c r="F20" s="1"/>
      <c r="G20" s="1"/>
      <c r="H20" s="1"/>
      <c r="I20" s="1"/>
      <c r="J20" s="1"/>
      <c r="K20" s="1"/>
      <c r="L20" s="1"/>
      <c r="M20" s="1"/>
      <c r="N20" s="2"/>
    </row>
    <row r="22" spans="1:15" x14ac:dyDescent="0.25">
      <c r="A22" t="s">
        <v>42</v>
      </c>
    </row>
    <row r="23" spans="1:15" x14ac:dyDescent="0.25">
      <c r="A23" s="48" t="s">
        <v>41</v>
      </c>
      <c r="B23" s="66">
        <f t="shared" ref="B23:M23" si="1">B9/B6*100000</f>
        <v>57.57476036772789</v>
      </c>
      <c r="C23" s="66">
        <f t="shared" si="1"/>
        <v>1.1821766561514195</v>
      </c>
      <c r="D23" s="66">
        <f t="shared" si="1"/>
        <v>143.0191798941799</v>
      </c>
      <c r="E23" s="66">
        <f t="shared" si="1"/>
        <v>137.28889841405916</v>
      </c>
      <c r="F23" s="66">
        <f t="shared" si="1"/>
        <v>26.047677261613693</v>
      </c>
      <c r="G23" s="66">
        <f t="shared" si="1"/>
        <v>18.414610452690887</v>
      </c>
      <c r="H23" s="66">
        <f t="shared" si="1"/>
        <v>21.894942805538832</v>
      </c>
      <c r="I23" s="66">
        <f t="shared" si="1"/>
        <v>14.776422764227641</v>
      </c>
      <c r="J23" s="66">
        <f t="shared" si="1"/>
        <v>39.837358304583539</v>
      </c>
      <c r="K23" s="66">
        <f t="shared" si="1"/>
        <v>48.57739961188237</v>
      </c>
      <c r="L23" s="66">
        <f t="shared" si="1"/>
        <v>15.035913806863528</v>
      </c>
      <c r="M23" s="66">
        <f t="shared" si="1"/>
        <v>7.8037514761641784</v>
      </c>
      <c r="N23" s="66">
        <f>N9/$N$6*100000</f>
        <v>17.474402730375427</v>
      </c>
      <c r="O23" s="66">
        <f>O9/$O$6*100000</f>
        <v>12.483841115078398</v>
      </c>
    </row>
    <row r="24" spans="1:15" x14ac:dyDescent="0.25">
      <c r="A24" s="48" t="s">
        <v>34</v>
      </c>
      <c r="B24" s="65"/>
      <c r="C24" s="65"/>
      <c r="D24" s="65"/>
      <c r="E24" s="65"/>
      <c r="F24" s="65"/>
      <c r="G24" s="65"/>
      <c r="H24" s="65"/>
      <c r="I24" s="65"/>
      <c r="J24" s="65"/>
      <c r="K24" s="65"/>
      <c r="L24" s="65"/>
      <c r="M24" s="65"/>
      <c r="N24" s="66">
        <f>N10/$N$6*100000</f>
        <v>1.228668941979522</v>
      </c>
      <c r="O24" s="66">
        <f>O10/$O$6*100000</f>
        <v>1.9901775690704693</v>
      </c>
    </row>
    <row r="25" spans="1:15" x14ac:dyDescent="0.25">
      <c r="A25" s="48" t="s">
        <v>35</v>
      </c>
      <c r="B25" s="66">
        <f>B11/B6*100000</f>
        <v>2.3112523893210479</v>
      </c>
      <c r="C25" s="66">
        <f t="shared" ref="C25:O25" si="2">C11/C6*100000</f>
        <v>3.8643533123028394E-2</v>
      </c>
      <c r="D25" s="66">
        <f t="shared" si="2"/>
        <v>15.105820105820108</v>
      </c>
      <c r="E25" s="66">
        <f t="shared" si="2"/>
        <v>10.411487355336476</v>
      </c>
      <c r="F25" s="66">
        <f t="shared" si="2"/>
        <v>0.37988997555012227</v>
      </c>
      <c r="G25" s="66">
        <f t="shared" si="2"/>
        <v>0.27977462599572567</v>
      </c>
      <c r="H25" s="66">
        <f t="shared" si="2"/>
        <v>1.1423841059602649</v>
      </c>
      <c r="I25" s="66">
        <f t="shared" si="2"/>
        <v>2.6422764227642275</v>
      </c>
      <c r="J25" s="66">
        <f t="shared" si="2"/>
        <v>2.9300147856086745</v>
      </c>
      <c r="K25" s="66">
        <f t="shared" si="2"/>
        <v>2.9735781459919393</v>
      </c>
      <c r="L25" s="66">
        <f t="shared" si="2"/>
        <v>0.16227720138334664</v>
      </c>
      <c r="M25" s="66">
        <f t="shared" si="2"/>
        <v>0.12960776053069875</v>
      </c>
      <c r="N25" s="66">
        <f t="shared" si="2"/>
        <v>0.13651877133105803</v>
      </c>
      <c r="O25" s="66">
        <f t="shared" si="2"/>
        <v>0</v>
      </c>
    </row>
    <row r="26" spans="1:15" x14ac:dyDescent="0.25">
      <c r="N26" s="1"/>
      <c r="O26" s="31"/>
    </row>
    <row r="28" spans="1:15" hidden="1" x14ac:dyDescent="0.25">
      <c r="A28" s="10" t="s">
        <v>74</v>
      </c>
    </row>
    <row r="29" spans="1:15" hidden="1" x14ac:dyDescent="0.25"/>
    <row r="30" spans="1:15" hidden="1" x14ac:dyDescent="0.25"/>
    <row r="31" spans="1:15" hidden="1" x14ac:dyDescent="0.25">
      <c r="A31" t="s">
        <v>48</v>
      </c>
      <c r="B31" s="7">
        <f t="shared" ref="B31:O31" si="3">B23*$L$6/100000</f>
        <v>21642.352422228912</v>
      </c>
      <c r="C31" s="7">
        <f t="shared" si="3"/>
        <v>444.38020504731861</v>
      </c>
      <c r="D31" s="7">
        <f t="shared" si="3"/>
        <v>53760.909722222226</v>
      </c>
      <c r="E31" s="7">
        <f t="shared" si="3"/>
        <v>51606.896913844845</v>
      </c>
      <c r="F31" s="7">
        <f t="shared" si="3"/>
        <v>9791.3218826405864</v>
      </c>
      <c r="G31" s="7">
        <f t="shared" si="3"/>
        <v>6922.0520691665042</v>
      </c>
      <c r="H31" s="7">
        <f t="shared" si="3"/>
        <v>8230.3090006020466</v>
      </c>
      <c r="I31" s="7">
        <f t="shared" si="3"/>
        <v>5554.4573170731701</v>
      </c>
      <c r="J31" s="7">
        <f t="shared" si="3"/>
        <v>14974.862986692953</v>
      </c>
      <c r="K31" s="7">
        <f t="shared" si="3"/>
        <v>18260.244514106584</v>
      </c>
      <c r="L31" s="7">
        <f t="shared" si="3"/>
        <v>5652</v>
      </c>
      <c r="M31" s="7">
        <f t="shared" si="3"/>
        <v>2933.4301798901147</v>
      </c>
      <c r="N31" s="7">
        <f t="shared" si="3"/>
        <v>6568.6279863481232</v>
      </c>
      <c r="O31" s="7">
        <f t="shared" si="3"/>
        <v>4692.67587515797</v>
      </c>
    </row>
    <row r="32" spans="1:15" hidden="1" x14ac:dyDescent="0.25">
      <c r="B32" s="7"/>
      <c r="C32" s="7"/>
      <c r="D32" s="7"/>
      <c r="E32" s="7"/>
      <c r="F32" s="7"/>
      <c r="G32" s="7"/>
      <c r="H32" s="7"/>
      <c r="I32" s="7"/>
      <c r="J32" s="7"/>
      <c r="K32" s="7"/>
      <c r="L32" s="7"/>
      <c r="M32" s="7"/>
      <c r="N32" s="7"/>
      <c r="O32" s="7"/>
    </row>
    <row r="33" spans="1:15" hidden="1" x14ac:dyDescent="0.25">
      <c r="A33" t="s">
        <v>49</v>
      </c>
      <c r="B33" s="7">
        <f t="shared" ref="B33:O33" si="4">B25*$L$6/100000</f>
        <v>868.79977314578196</v>
      </c>
      <c r="C33" s="7">
        <f t="shared" si="4"/>
        <v>14.526104100946375</v>
      </c>
      <c r="D33" s="7">
        <f t="shared" si="4"/>
        <v>5678.2777777777792</v>
      </c>
      <c r="E33" s="7">
        <f t="shared" si="4"/>
        <v>3913.6780968709813</v>
      </c>
      <c r="F33" s="7">
        <f t="shared" si="4"/>
        <v>142.80064180929097</v>
      </c>
      <c r="G33" s="7">
        <f t="shared" si="4"/>
        <v>105.16728191179328</v>
      </c>
      <c r="H33" s="7">
        <f t="shared" si="4"/>
        <v>429.42218543046357</v>
      </c>
      <c r="I33" s="7">
        <f t="shared" si="4"/>
        <v>993.23170731707307</v>
      </c>
      <c r="J33" s="7">
        <f t="shared" si="4"/>
        <v>1101.3925579103009</v>
      </c>
      <c r="K33" s="7">
        <f t="shared" si="4"/>
        <v>1117.7680250783699</v>
      </c>
      <c r="L33" s="7">
        <f t="shared" si="4"/>
        <v>61</v>
      </c>
      <c r="M33" s="7">
        <f t="shared" si="4"/>
        <v>48.719557183489663</v>
      </c>
      <c r="N33" s="7">
        <f t="shared" si="4"/>
        <v>51.317406143344712</v>
      </c>
      <c r="O33" s="7">
        <f t="shared" si="4"/>
        <v>0</v>
      </c>
    </row>
    <row r="34" spans="1:15" hidden="1" x14ac:dyDescent="0.25"/>
    <row r="35" spans="1:15" hidden="1" x14ac:dyDescent="0.25">
      <c r="A35" t="s">
        <v>48</v>
      </c>
      <c r="B35" t="s">
        <v>75</v>
      </c>
    </row>
    <row r="36" spans="1:15" hidden="1" x14ac:dyDescent="0.25">
      <c r="A36" t="s">
        <v>50</v>
      </c>
      <c r="B36" s="7">
        <f>MIN($B$31:$M$31)</f>
        <v>444.38020504731861</v>
      </c>
      <c r="C36" s="7"/>
    </row>
    <row r="37" spans="1:15" hidden="1" x14ac:dyDescent="0.25">
      <c r="A37" t="s">
        <v>51</v>
      </c>
      <c r="B37" s="7">
        <f>MAX(B31:M31)</f>
        <v>53760.909722222226</v>
      </c>
      <c r="C37">
        <f>B37*1.6%</f>
        <v>860.17455555555568</v>
      </c>
      <c r="D37" t="s">
        <v>78</v>
      </c>
    </row>
    <row r="38" spans="1:15" hidden="1" x14ac:dyDescent="0.25"/>
    <row r="39" spans="1:15" hidden="1" x14ac:dyDescent="0.25">
      <c r="A39" t="s">
        <v>49</v>
      </c>
    </row>
    <row r="40" spans="1:15" hidden="1" x14ac:dyDescent="0.25">
      <c r="A40" t="s">
        <v>50</v>
      </c>
      <c r="B40" s="7">
        <f>MIN(B33:M33)</f>
        <v>14.526104100946375</v>
      </c>
    </row>
    <row r="41" spans="1:15" hidden="1" x14ac:dyDescent="0.25">
      <c r="A41" t="s">
        <v>51</v>
      </c>
      <c r="B41" s="7">
        <f>MAX($B$33:$M$33)</f>
        <v>5678.2777777777792</v>
      </c>
      <c r="C41">
        <f>B41*1.6%</f>
        <v>90.852444444444473</v>
      </c>
      <c r="D41" t="s">
        <v>78</v>
      </c>
    </row>
    <row r="42" spans="1:15" hidden="1" x14ac:dyDescent="0.25">
      <c r="B42" s="7"/>
    </row>
    <row r="43" spans="1:15" hidden="1" x14ac:dyDescent="0.25">
      <c r="A43" t="s">
        <v>63</v>
      </c>
      <c r="B43" s="7" t="s">
        <v>65</v>
      </c>
      <c r="C43" t="s">
        <v>66</v>
      </c>
    </row>
    <row r="44" spans="1:15" hidden="1" x14ac:dyDescent="0.25">
      <c r="A44" t="s">
        <v>50</v>
      </c>
      <c r="B44" s="7">
        <f>B18*L9</f>
        <v>847.8</v>
      </c>
      <c r="C44" s="7">
        <f>B36*B18</f>
        <v>66.657030757097786</v>
      </c>
    </row>
    <row r="45" spans="1:15" hidden="1" x14ac:dyDescent="0.25">
      <c r="A45" t="s">
        <v>51</v>
      </c>
      <c r="B45" s="7">
        <f>L9*D18</f>
        <v>3165.1200000000003</v>
      </c>
      <c r="C45" s="7">
        <f>B37*D18</f>
        <v>30106.10944444445</v>
      </c>
      <c r="D45">
        <f>C45*1.6%</f>
        <v>481.69775111111119</v>
      </c>
      <c r="E45" t="s">
        <v>78</v>
      </c>
    </row>
    <row r="46" spans="1:15" hidden="1" x14ac:dyDescent="0.25">
      <c r="B46" s="7"/>
    </row>
    <row r="47" spans="1:15" hidden="1" x14ac:dyDescent="0.25">
      <c r="A47" t="s">
        <v>64</v>
      </c>
      <c r="B47" s="7" t="s">
        <v>77</v>
      </c>
      <c r="C47" t="s">
        <v>76</v>
      </c>
    </row>
    <row r="48" spans="1:15" hidden="1" x14ac:dyDescent="0.25">
      <c r="A48" t="s">
        <v>50</v>
      </c>
      <c r="B48" s="7"/>
    </row>
    <row r="49" spans="1:14" hidden="1" x14ac:dyDescent="0.25">
      <c r="A49" t="s">
        <v>51</v>
      </c>
      <c r="B49" s="7">
        <f>L9*D19</f>
        <v>565.20000000000005</v>
      </c>
      <c r="C49" s="7">
        <f>B37*D19</f>
        <v>5376.0909722222232</v>
      </c>
      <c r="D49">
        <f>C49*1.6%</f>
        <v>86.017455555555571</v>
      </c>
      <c r="E49" t="s">
        <v>78</v>
      </c>
    </row>
    <row r="50" spans="1:14" hidden="1" x14ac:dyDescent="0.25"/>
    <row r="51" spans="1:14" hidden="1" x14ac:dyDescent="0.25"/>
    <row r="52" spans="1:14" hidden="1" x14ac:dyDescent="0.25">
      <c r="A52" s="10" t="s">
        <v>47</v>
      </c>
    </row>
    <row r="53" spans="1:14" hidden="1" x14ac:dyDescent="0.25"/>
    <row r="54" spans="1:14" hidden="1" x14ac:dyDescent="0.25">
      <c r="A54" t="s">
        <v>48</v>
      </c>
      <c r="B54" s="7">
        <f t="shared" ref="B54:M54" si="5">B23*$M$6/100000</f>
        <v>8440.2387828290957</v>
      </c>
      <c r="C54" s="7">
        <f t="shared" si="5"/>
        <v>173.30255823343848</v>
      </c>
      <c r="D54" s="7">
        <f t="shared" si="5"/>
        <v>20966.062578835979</v>
      </c>
      <c r="E54" s="7">
        <f t="shared" si="5"/>
        <v>20126.025318131164</v>
      </c>
      <c r="F54" s="7">
        <f t="shared" si="5"/>
        <v>3818.489463471883</v>
      </c>
      <c r="G54" s="7">
        <f t="shared" si="5"/>
        <v>2699.511180260346</v>
      </c>
      <c r="H54" s="7">
        <f t="shared" si="5"/>
        <v>3209.7145387116193</v>
      </c>
      <c r="I54" s="7">
        <f t="shared" si="5"/>
        <v>2166.1668357723574</v>
      </c>
      <c r="J54" s="7">
        <f t="shared" si="5"/>
        <v>5840.003751996057</v>
      </c>
      <c r="K54" s="7">
        <f t="shared" si="5"/>
        <v>7121.2602458874462</v>
      </c>
      <c r="L54" s="7">
        <f t="shared" si="5"/>
        <v>2204.2072261771746</v>
      </c>
      <c r="M54" s="7">
        <f t="shared" si="5"/>
        <v>1144.0000000000002</v>
      </c>
      <c r="N54" s="7"/>
    </row>
    <row r="55" spans="1:14" hidden="1" x14ac:dyDescent="0.25">
      <c r="B55" s="7"/>
      <c r="C55" s="7"/>
      <c r="D55" s="7"/>
      <c r="E55" s="7"/>
      <c r="F55" s="7"/>
      <c r="G55" s="7"/>
      <c r="H55" s="7"/>
      <c r="I55" s="7"/>
      <c r="J55" s="7"/>
      <c r="K55" s="7"/>
      <c r="L55" s="7"/>
      <c r="M55" s="7"/>
      <c r="N55" s="7"/>
    </row>
    <row r="56" spans="1:14" hidden="1" x14ac:dyDescent="0.25">
      <c r="A56" t="s">
        <v>49</v>
      </c>
      <c r="B56" s="7">
        <f t="shared" ref="B56:M56" si="6">B25*$M$6/100000</f>
        <v>338.82072506529062</v>
      </c>
      <c r="C56" s="7">
        <f t="shared" si="6"/>
        <v>5.6649935646687704</v>
      </c>
      <c r="D56" s="7">
        <f t="shared" si="6"/>
        <v>2214.4552211640216</v>
      </c>
      <c r="E56" s="7">
        <f t="shared" si="6"/>
        <v>1526.2840661808827</v>
      </c>
      <c r="F56" s="7">
        <f t="shared" si="6"/>
        <v>55.690411638141818</v>
      </c>
      <c r="G56" s="7">
        <f t="shared" si="6"/>
        <v>41.013885836409557</v>
      </c>
      <c r="H56" s="7">
        <f t="shared" si="6"/>
        <v>167.46912317880793</v>
      </c>
      <c r="I56" s="7">
        <f t="shared" si="6"/>
        <v>387.34757723577229</v>
      </c>
      <c r="J56" s="7">
        <f t="shared" si="6"/>
        <v>429.52891631345494</v>
      </c>
      <c r="K56" s="7">
        <f t="shared" si="6"/>
        <v>435.91513766233771</v>
      </c>
      <c r="L56" s="7">
        <f t="shared" si="6"/>
        <v>23.789214578345305</v>
      </c>
      <c r="M56" s="7">
        <f t="shared" si="6"/>
        <v>19</v>
      </c>
      <c r="N56" s="7"/>
    </row>
    <row r="57" spans="1:14" hidden="1" x14ac:dyDescent="0.25"/>
    <row r="58" spans="1:14" hidden="1" x14ac:dyDescent="0.25">
      <c r="A58" t="s">
        <v>48</v>
      </c>
    </row>
    <row r="59" spans="1:14" hidden="1" x14ac:dyDescent="0.25">
      <c r="A59" t="s">
        <v>50</v>
      </c>
      <c r="B59" s="7">
        <f>MIN($B$54:$M$54)</f>
        <v>173.30255823343848</v>
      </c>
    </row>
    <row r="60" spans="1:14" hidden="1" x14ac:dyDescent="0.25">
      <c r="A60" t="s">
        <v>51</v>
      </c>
      <c r="B60" s="7">
        <f>MAX($B$54:$M$54)</f>
        <v>20966.062578835979</v>
      </c>
    </row>
    <row r="61" spans="1:14" hidden="1" x14ac:dyDescent="0.25"/>
    <row r="62" spans="1:14" hidden="1" x14ac:dyDescent="0.25">
      <c r="A62" t="s">
        <v>49</v>
      </c>
    </row>
    <row r="63" spans="1:14" hidden="1" x14ac:dyDescent="0.25">
      <c r="A63" t="s">
        <v>50</v>
      </c>
      <c r="B63" s="7">
        <f>MIN($B$56:$M$56)</f>
        <v>5.6649935646687704</v>
      </c>
    </row>
    <row r="64" spans="1:14" hidden="1" x14ac:dyDescent="0.25">
      <c r="A64" t="s">
        <v>51</v>
      </c>
      <c r="B64" s="7">
        <f>MAX($B$56:$M$56)</f>
        <v>2214.4552211640216</v>
      </c>
    </row>
    <row r="65" spans="1:14" hidden="1" x14ac:dyDescent="0.25">
      <c r="B65" s="7"/>
    </row>
    <row r="66" spans="1:14" hidden="1" x14ac:dyDescent="0.25">
      <c r="A66" t="s">
        <v>63</v>
      </c>
      <c r="B66" s="7" t="s">
        <v>77</v>
      </c>
      <c r="C66" t="s">
        <v>76</v>
      </c>
    </row>
    <row r="67" spans="1:14" hidden="1" x14ac:dyDescent="0.25">
      <c r="A67" t="s">
        <v>50</v>
      </c>
      <c r="B67" s="7">
        <f>B18*M9</f>
        <v>171.6</v>
      </c>
    </row>
    <row r="68" spans="1:14" hidden="1" x14ac:dyDescent="0.25">
      <c r="A68" t="s">
        <v>51</v>
      </c>
      <c r="B68" s="7">
        <f>D18*M9</f>
        <v>640.6400000000001</v>
      </c>
      <c r="C68" s="7">
        <f>B60*D18</f>
        <v>11740.995044148149</v>
      </c>
    </row>
    <row r="69" spans="1:14" hidden="1" x14ac:dyDescent="0.25">
      <c r="B69" s="7"/>
    </row>
    <row r="70" spans="1:14" hidden="1" x14ac:dyDescent="0.25">
      <c r="A70" t="s">
        <v>64</v>
      </c>
      <c r="B70" s="7" t="s">
        <v>77</v>
      </c>
      <c r="C70" t="s">
        <v>76</v>
      </c>
    </row>
    <row r="71" spans="1:14" hidden="1" x14ac:dyDescent="0.25">
      <c r="A71" t="s">
        <v>50</v>
      </c>
      <c r="B71" s="7">
        <f>B19*M9</f>
        <v>57.2</v>
      </c>
    </row>
    <row r="72" spans="1:14" hidden="1" x14ac:dyDescent="0.25">
      <c r="A72" t="s">
        <v>51</v>
      </c>
      <c r="B72">
        <f>D19*M9</f>
        <v>114.4</v>
      </c>
      <c r="C72" s="7">
        <f>B60*D19</f>
        <v>2096.6062578835981</v>
      </c>
    </row>
    <row r="74" spans="1:14" x14ac:dyDescent="0.25">
      <c r="A74" s="10" t="s">
        <v>52</v>
      </c>
    </row>
    <row r="76" spans="1:14" x14ac:dyDescent="0.25">
      <c r="A76" s="48" t="s">
        <v>48</v>
      </c>
      <c r="B76" s="43">
        <f t="shared" ref="B76:M76" si="7">B23*$O$6/100000</f>
        <v>318.22404889268535</v>
      </c>
      <c r="C76" s="43">
        <f t="shared" si="7"/>
        <v>6.534061794164038</v>
      </c>
      <c r="D76" s="43">
        <f t="shared" si="7"/>
        <v>790.48774505621702</v>
      </c>
      <c r="E76" s="43">
        <f t="shared" si="7"/>
        <v>758.81564842477496</v>
      </c>
      <c r="F76" s="43">
        <f t="shared" si="7"/>
        <v>143.96928913814182</v>
      </c>
      <c r="G76" s="43">
        <f t="shared" si="7"/>
        <v>101.78022209053817</v>
      </c>
      <c r="H76" s="43">
        <f t="shared" si="7"/>
        <v>121.01652365291993</v>
      </c>
      <c r="I76" s="43">
        <f t="shared" si="7"/>
        <v>81.671431199186983</v>
      </c>
      <c r="J76" s="43">
        <f t="shared" si="7"/>
        <v>220.1868557663874</v>
      </c>
      <c r="K76" s="43">
        <f t="shared" si="7"/>
        <v>268.49433137781756</v>
      </c>
      <c r="L76" s="43">
        <f t="shared" si="7"/>
        <v>83.105675818036715</v>
      </c>
      <c r="M76" s="43">
        <f t="shared" si="7"/>
        <v>43.132465952723457</v>
      </c>
      <c r="N76" s="7"/>
    </row>
    <row r="77" spans="1:14" x14ac:dyDescent="0.25">
      <c r="A77" s="48"/>
      <c r="B77" s="43"/>
      <c r="C77" s="43"/>
      <c r="D77" s="43"/>
      <c r="E77" s="43"/>
      <c r="F77" s="43"/>
      <c r="G77" s="43"/>
      <c r="H77" s="43"/>
      <c r="I77" s="43"/>
      <c r="J77" s="43"/>
      <c r="K77" s="43"/>
      <c r="L77" s="43"/>
      <c r="M77" s="43"/>
      <c r="N77" s="7"/>
    </row>
    <row r="78" spans="1:14" x14ac:dyDescent="0.25">
      <c r="A78" s="48" t="s">
        <v>49</v>
      </c>
      <c r="B78" s="43">
        <f t="shared" ref="B78:M78" si="8">B25*$O$6/100000</f>
        <v>12.774627087373883</v>
      </c>
      <c r="C78" s="43">
        <f t="shared" si="8"/>
        <v>0.21358841088328079</v>
      </c>
      <c r="D78" s="43">
        <f t="shared" si="8"/>
        <v>83.492058068783081</v>
      </c>
      <c r="E78" s="43">
        <f t="shared" si="8"/>
        <v>57.545800278611232</v>
      </c>
      <c r="F78" s="43">
        <f t="shared" si="8"/>
        <v>2.0997069789119807</v>
      </c>
      <c r="G78" s="43">
        <f t="shared" si="8"/>
        <v>1.5463549251991453</v>
      </c>
      <c r="H78" s="43">
        <f t="shared" si="8"/>
        <v>6.3141225993377486</v>
      </c>
      <c r="I78" s="43">
        <f t="shared" si="8"/>
        <v>14.604244918699186</v>
      </c>
      <c r="J78" s="43">
        <f t="shared" si="8"/>
        <v>16.194616572203056</v>
      </c>
      <c r="K78" s="43">
        <f t="shared" si="8"/>
        <v>16.435397581728619</v>
      </c>
      <c r="L78" s="43">
        <f t="shared" si="8"/>
        <v>0.89692962223995754</v>
      </c>
      <c r="M78" s="43">
        <f t="shared" si="8"/>
        <v>0.7163608855784489</v>
      </c>
      <c r="N78" s="7"/>
    </row>
    <row r="80" spans="1:14" x14ac:dyDescent="0.25">
      <c r="A80" s="65" t="s">
        <v>48</v>
      </c>
      <c r="B80" s="65" t="s">
        <v>72</v>
      </c>
      <c r="C80" s="65" t="s">
        <v>73</v>
      </c>
    </row>
    <row r="81" spans="1:3" x14ac:dyDescent="0.25">
      <c r="A81" s="65" t="s">
        <v>50</v>
      </c>
      <c r="B81" s="66">
        <f>MIN($B$76:$M$76)</f>
        <v>6.534061794164038</v>
      </c>
      <c r="C81" s="66">
        <f>MIN($C$76:$M$76)</f>
        <v>6.534061794164038</v>
      </c>
    </row>
    <row r="82" spans="1:3" x14ac:dyDescent="0.25">
      <c r="A82" s="65" t="s">
        <v>51</v>
      </c>
      <c r="B82" s="66">
        <f>MAX($B$76:$M$76)</f>
        <v>790.48774505621702</v>
      </c>
      <c r="C82" s="66">
        <f>MAX($C$76:$M$76)</f>
        <v>790.48774505621702</v>
      </c>
    </row>
    <row r="83" spans="1:3" x14ac:dyDescent="0.25">
      <c r="A83" s="65"/>
      <c r="B83" s="65"/>
      <c r="C83" s="65"/>
    </row>
    <row r="84" spans="1:3" x14ac:dyDescent="0.25">
      <c r="A84" s="65" t="s">
        <v>49</v>
      </c>
      <c r="B84" s="65"/>
      <c r="C84" s="65"/>
    </row>
    <row r="85" spans="1:3" x14ac:dyDescent="0.25">
      <c r="A85" s="65" t="s">
        <v>50</v>
      </c>
      <c r="B85" s="66">
        <f>MIN($B$78:$M$78)</f>
        <v>0.21358841088328079</v>
      </c>
      <c r="C85" s="66">
        <f>MIN($C$78:$M$78)</f>
        <v>0.21358841088328079</v>
      </c>
    </row>
    <row r="86" spans="1:3" x14ac:dyDescent="0.25">
      <c r="A86" s="65" t="s">
        <v>51</v>
      </c>
      <c r="B86" s="66">
        <f>MAX($B$78:$M$78)</f>
        <v>83.492058068783081</v>
      </c>
      <c r="C86" s="66">
        <f>MAX($C$78:$M$78)</f>
        <v>83.492058068783081</v>
      </c>
    </row>
    <row r="87" spans="1:3" x14ac:dyDescent="0.25">
      <c r="A87" s="65"/>
      <c r="B87" s="65"/>
      <c r="C87" s="65"/>
    </row>
    <row r="88" spans="1:3" x14ac:dyDescent="0.25">
      <c r="A88" s="65" t="s">
        <v>27</v>
      </c>
      <c r="B88" s="65"/>
      <c r="C88" s="65"/>
    </row>
    <row r="89" spans="1:3" x14ac:dyDescent="0.25">
      <c r="A89" s="65" t="s">
        <v>50</v>
      </c>
      <c r="B89" s="66">
        <f>B81*$D$18</f>
        <v>3.6590746047318614</v>
      </c>
      <c r="C89" s="66">
        <f>C81*$D$18</f>
        <v>3.6590746047318614</v>
      </c>
    </row>
    <row r="90" spans="1:3" x14ac:dyDescent="0.25">
      <c r="A90" s="65" t="s">
        <v>51</v>
      </c>
      <c r="B90" s="66">
        <f>B82*$D$18</f>
        <v>442.67313723148158</v>
      </c>
      <c r="C90" s="66">
        <f>C82*$D$18</f>
        <v>442.67313723148158</v>
      </c>
    </row>
    <row r="91" spans="1:3" x14ac:dyDescent="0.25">
      <c r="A91" s="65"/>
      <c r="B91" s="66"/>
      <c r="C91" s="65"/>
    </row>
    <row r="92" spans="1:3" x14ac:dyDescent="0.25">
      <c r="A92" s="65" t="s">
        <v>62</v>
      </c>
      <c r="B92" s="66"/>
      <c r="C92" s="65"/>
    </row>
    <row r="93" spans="1:3" x14ac:dyDescent="0.25">
      <c r="A93" s="65" t="s">
        <v>50</v>
      </c>
      <c r="B93" s="66">
        <f>B81*$D$19</f>
        <v>0.65340617941640389</v>
      </c>
      <c r="C93" s="66">
        <f>C81*$D$19</f>
        <v>0.65340617941640389</v>
      </c>
    </row>
    <row r="94" spans="1:3" x14ac:dyDescent="0.25">
      <c r="A94" s="65" t="s">
        <v>51</v>
      </c>
      <c r="B94" s="66">
        <f>B82*$D$19</f>
        <v>79.048774505621708</v>
      </c>
      <c r="C94" s="66">
        <f>C82*$D$19</f>
        <v>79.048774505621708</v>
      </c>
    </row>
  </sheetData>
  <hyperlinks>
    <hyperlink ref="D17" r:id="rId1" xr:uid="{F3F78A46-FE8D-4AB9-9BE5-488A33B4D29A}"/>
    <hyperlink ref="B17" r:id="rId2" xr:uid="{BF7E0534-02FD-4D54-9A54-283FDC3C4064}"/>
    <hyperlink ref="B1" r:id="rId3" xr:uid="{0236FCD8-4104-421E-BECA-1A645F0568F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64A2-4F6B-48B1-99D5-51BCEA510317}">
  <dimension ref="A1:P95"/>
  <sheetViews>
    <sheetView zoomScaleNormal="100" workbookViewId="0">
      <selection activeCell="B1" sqref="B1"/>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1" width="12.140625" customWidth="1"/>
    <col min="12" max="13" width="13.5703125" bestFit="1" customWidth="1"/>
    <col min="14" max="14" width="12.140625" customWidth="1"/>
    <col min="15" max="15" width="16.140625" bestFit="1" customWidth="1"/>
  </cols>
  <sheetData>
    <row r="1" spans="1:16" x14ac:dyDescent="0.25">
      <c r="A1" s="26">
        <v>43918</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135</v>
      </c>
      <c r="C4" s="54">
        <v>75</v>
      </c>
      <c r="D4" s="54">
        <v>60</v>
      </c>
      <c r="E4" s="54">
        <v>60</v>
      </c>
      <c r="F4" s="54">
        <v>70</v>
      </c>
      <c r="G4" s="54">
        <v>70</v>
      </c>
      <c r="H4" s="54">
        <v>60</v>
      </c>
      <c r="I4" s="54">
        <v>66</v>
      </c>
      <c r="J4" s="54">
        <v>41</v>
      </c>
      <c r="K4" s="57">
        <v>41</v>
      </c>
      <c r="L4" s="62">
        <v>66</v>
      </c>
      <c r="M4" s="54">
        <v>66</v>
      </c>
      <c r="N4" s="54">
        <v>66</v>
      </c>
      <c r="O4" s="67">
        <v>26</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82447</v>
      </c>
      <c r="C9" s="54">
        <v>1866</v>
      </c>
      <c r="D9" s="54">
        <v>97689</v>
      </c>
      <c r="E9" s="54">
        <v>78797</v>
      </c>
      <c r="F9" s="54">
        <v>122653</v>
      </c>
      <c r="G9" s="54">
        <v>9661</v>
      </c>
      <c r="H9" s="54">
        <v>19526</v>
      </c>
      <c r="I9" s="54">
        <v>3966</v>
      </c>
      <c r="J9" s="54">
        <v>38309</v>
      </c>
      <c r="K9" s="57">
        <v>39642</v>
      </c>
      <c r="L9" s="62">
        <v>7435</v>
      </c>
      <c r="M9" s="54">
        <v>1966</v>
      </c>
      <c r="N9" s="54">
        <v>591</v>
      </c>
      <c r="O9" s="67">
        <v>69</v>
      </c>
      <c r="P9" s="1"/>
    </row>
    <row r="10" spans="1:16" x14ac:dyDescent="0.25">
      <c r="A10" s="48" t="s">
        <v>34</v>
      </c>
      <c r="B10" s="54"/>
      <c r="C10" s="54"/>
      <c r="D10" s="54"/>
      <c r="E10" s="54"/>
      <c r="F10" s="54"/>
      <c r="G10" s="54"/>
      <c r="H10" s="54"/>
      <c r="I10" s="54"/>
      <c r="J10" s="54"/>
      <c r="K10" s="57"/>
      <c r="L10" s="62"/>
      <c r="M10" s="54"/>
      <c r="N10" s="54">
        <v>67</v>
      </c>
      <c r="O10" s="67">
        <v>11</v>
      </c>
    </row>
    <row r="11" spans="1:16" x14ac:dyDescent="0.25">
      <c r="A11" s="48" t="s">
        <v>123</v>
      </c>
      <c r="B11" s="54"/>
      <c r="C11" s="54"/>
      <c r="D11" s="54"/>
      <c r="E11" s="54"/>
      <c r="F11" s="54"/>
      <c r="G11" s="54"/>
      <c r="H11" s="54"/>
      <c r="I11" s="54"/>
      <c r="J11" s="54"/>
      <c r="K11" s="57"/>
      <c r="L11" s="62"/>
      <c r="M11" s="54"/>
      <c r="N11" s="54">
        <v>30</v>
      </c>
      <c r="O11" s="67"/>
    </row>
    <row r="12" spans="1:16" x14ac:dyDescent="0.25">
      <c r="A12" s="48" t="s">
        <v>35</v>
      </c>
      <c r="B12" s="54">
        <v>3310</v>
      </c>
      <c r="C12" s="54">
        <v>71</v>
      </c>
      <c r="D12" s="54">
        <v>10781</v>
      </c>
      <c r="E12" s="54">
        <v>6528</v>
      </c>
      <c r="F12" s="54">
        <v>2112</v>
      </c>
      <c r="G12" s="54">
        <v>158</v>
      </c>
      <c r="H12" s="54">
        <v>1228</v>
      </c>
      <c r="I12" s="54">
        <v>16</v>
      </c>
      <c r="J12" s="54">
        <v>2640</v>
      </c>
      <c r="K12" s="57">
        <v>2602</v>
      </c>
      <c r="L12" s="62">
        <v>89</v>
      </c>
      <c r="M12" s="54">
        <v>33</v>
      </c>
      <c r="N12" s="54">
        <v>6</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4.014700352954019E-2</v>
      </c>
      <c r="C16" s="71">
        <f t="shared" ref="C16:O16" si="0">C12/C9</f>
        <v>3.8049303322615219E-2</v>
      </c>
      <c r="D16" s="71">
        <f t="shared" si="0"/>
        <v>0.11036042952635404</v>
      </c>
      <c r="E16" s="71">
        <f t="shared" si="0"/>
        <v>8.2845793621584576E-2</v>
      </c>
      <c r="F16" s="71">
        <f t="shared" si="0"/>
        <v>1.7219309760054789E-2</v>
      </c>
      <c r="G16" s="71">
        <f t="shared" si="0"/>
        <v>1.6354414656867818E-2</v>
      </c>
      <c r="H16" s="71">
        <f t="shared" si="0"/>
        <v>6.2890504967735322E-2</v>
      </c>
      <c r="I16" s="71">
        <f t="shared" si="0"/>
        <v>4.034291477559254E-3</v>
      </c>
      <c r="J16" s="71">
        <f t="shared" si="0"/>
        <v>6.8913310188206428E-2</v>
      </c>
      <c r="K16" s="71">
        <f t="shared" si="0"/>
        <v>6.5637455224257096E-2</v>
      </c>
      <c r="L16" s="71">
        <f t="shared" si="0"/>
        <v>1.1970410221923336E-2</v>
      </c>
      <c r="M16" s="71">
        <f t="shared" si="0"/>
        <v>1.6785350966429299E-2</v>
      </c>
      <c r="N16" s="71">
        <f t="shared" si="0"/>
        <v>1.015228426395939E-2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0.11336717428087986</v>
      </c>
      <c r="O19" s="72">
        <f>O10/O9</f>
        <v>0.15942028985507245</v>
      </c>
    </row>
    <row r="20" spans="1:15" x14ac:dyDescent="0.25">
      <c r="A20" s="48" t="s">
        <v>59</v>
      </c>
      <c r="B20" s="72">
        <v>0.05</v>
      </c>
      <c r="C20" s="72"/>
      <c r="D20" s="72">
        <v>0.1</v>
      </c>
      <c r="E20" s="72"/>
      <c r="F20" s="72"/>
      <c r="G20" s="72"/>
      <c r="H20" s="72"/>
      <c r="I20" s="72"/>
      <c r="J20" s="72"/>
      <c r="K20" s="72"/>
      <c r="L20" s="72"/>
      <c r="M20" s="72"/>
      <c r="N20" s="72">
        <f>N11/N9</f>
        <v>5.0761421319796954E-2</v>
      </c>
      <c r="O20" s="73"/>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5.9485569985569979</v>
      </c>
      <c r="C24" s="66">
        <f t="shared" si="1"/>
        <v>1.4716088328075709</v>
      </c>
      <c r="D24" s="66">
        <f t="shared" si="1"/>
        <v>161.52281746031747</v>
      </c>
      <c r="E24" s="66">
        <f t="shared" si="1"/>
        <v>168.87483926275183</v>
      </c>
      <c r="F24" s="66">
        <f t="shared" si="1"/>
        <v>37.485635696821518</v>
      </c>
      <c r="G24" s="66">
        <f t="shared" si="1"/>
        <v>18.770157373227121</v>
      </c>
      <c r="H24" s="66">
        <f t="shared" si="1"/>
        <v>29.388922335942201</v>
      </c>
      <c r="I24" s="66">
        <f t="shared" si="1"/>
        <v>16.121951219512194</v>
      </c>
      <c r="J24" s="66">
        <f t="shared" si="1"/>
        <v>47.201823558403156</v>
      </c>
      <c r="K24" s="66">
        <f t="shared" si="1"/>
        <v>59.175996417375728</v>
      </c>
      <c r="L24" s="66">
        <f t="shared" si="1"/>
        <v>19.779196594839053</v>
      </c>
      <c r="M24" s="66">
        <f t="shared" si="1"/>
        <v>13.410992484387039</v>
      </c>
      <c r="N24" s="66">
        <f>N9/$N$6*100000</f>
        <v>20.170648464163822</v>
      </c>
      <c r="O24" s="66">
        <f>O9/$O$6*100000</f>
        <v>12.483841115078398</v>
      </c>
    </row>
    <row r="25" spans="1:15" x14ac:dyDescent="0.25">
      <c r="A25" s="48" t="s">
        <v>34</v>
      </c>
      <c r="B25" s="65"/>
      <c r="C25" s="65"/>
      <c r="D25" s="65"/>
      <c r="E25" s="65"/>
      <c r="F25" s="65"/>
      <c r="G25" s="65"/>
      <c r="H25" s="65"/>
      <c r="I25" s="65"/>
      <c r="J25" s="65"/>
      <c r="K25" s="65"/>
      <c r="L25" s="65"/>
      <c r="M25" s="65"/>
      <c r="N25" s="66">
        <f>N10/$N$6*100000</f>
        <v>2.2866894197952221</v>
      </c>
      <c r="O25" s="66">
        <f>O10/$O$6*100000</f>
        <v>1.9901775690704693</v>
      </c>
    </row>
    <row r="26" spans="1:15" x14ac:dyDescent="0.25">
      <c r="A26" s="48" t="s">
        <v>35</v>
      </c>
      <c r="B26" s="66">
        <f>B12/B6*100000</f>
        <v>0.23881673881673882</v>
      </c>
      <c r="C26" s="66">
        <f t="shared" ref="C26:O26" si="2">C12/C6*100000</f>
        <v>5.5993690851735015E-2</v>
      </c>
      <c r="D26" s="66">
        <f t="shared" si="2"/>
        <v>17.825727513227513</v>
      </c>
      <c r="E26" s="66">
        <f t="shared" si="2"/>
        <v>13.990570081440204</v>
      </c>
      <c r="F26" s="66">
        <f t="shared" si="2"/>
        <v>0.64547677261613701</v>
      </c>
      <c r="G26" s="66">
        <f t="shared" si="2"/>
        <v>0.30697493685642119</v>
      </c>
      <c r="H26" s="66">
        <f t="shared" si="2"/>
        <v>1.8482841661649609</v>
      </c>
      <c r="I26" s="66">
        <f t="shared" si="2"/>
        <v>6.5040650406504058E-2</v>
      </c>
      <c r="J26" s="66">
        <f t="shared" si="2"/>
        <v>3.2528339083292264</v>
      </c>
      <c r="K26" s="66">
        <f t="shared" si="2"/>
        <v>3.8841618151962982</v>
      </c>
      <c r="L26" s="66">
        <f t="shared" si="2"/>
        <v>0.23676509710029264</v>
      </c>
      <c r="M26" s="66">
        <f t="shared" si="2"/>
        <v>0.22510821565858208</v>
      </c>
      <c r="N26" s="66">
        <f t="shared" si="2"/>
        <v>0.20477815699658705</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2236.0625757575758</v>
      </c>
      <c r="C32" s="7">
        <f t="shared" si="3"/>
        <v>553.17776025236594</v>
      </c>
      <c r="D32" s="7">
        <f t="shared" si="3"/>
        <v>60716.427083333343</v>
      </c>
      <c r="E32" s="7">
        <f t="shared" si="3"/>
        <v>63480.052078868415</v>
      </c>
      <c r="F32" s="7">
        <f t="shared" si="3"/>
        <v>14090.850458435209</v>
      </c>
      <c r="G32" s="7">
        <f t="shared" si="3"/>
        <v>7055.7021565960749</v>
      </c>
      <c r="H32" s="7">
        <f t="shared" si="3"/>
        <v>11047.295906080673</v>
      </c>
      <c r="I32" s="7">
        <f t="shared" si="3"/>
        <v>6060.2414634146335</v>
      </c>
      <c r="J32" s="7">
        <f t="shared" si="3"/>
        <v>17743.165475603746</v>
      </c>
      <c r="K32" s="7">
        <f t="shared" si="3"/>
        <v>22244.257053291534</v>
      </c>
      <c r="L32" s="7">
        <f t="shared" si="3"/>
        <v>7435</v>
      </c>
      <c r="M32" s="7">
        <f t="shared" si="3"/>
        <v>5041.192074881088</v>
      </c>
      <c r="N32" s="7">
        <f t="shared" si="3"/>
        <v>7582.1467576791811</v>
      </c>
      <c r="O32" s="7">
        <f t="shared" si="3"/>
        <v>4692.67587515797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89.77121212121213</v>
      </c>
      <c r="C34" s="7">
        <f t="shared" si="4"/>
        <v>21.04802839116719</v>
      </c>
      <c r="D34" s="7">
        <f t="shared" si="4"/>
        <v>6700.6909722222217</v>
      </c>
      <c r="E34" s="7">
        <f t="shared" si="4"/>
        <v>5259.0552936133727</v>
      </c>
      <c r="F34" s="7">
        <f t="shared" si="4"/>
        <v>242.6347188264059</v>
      </c>
      <c r="G34" s="7">
        <f t="shared" si="4"/>
        <v>115.39187876432874</v>
      </c>
      <c r="H34" s="7">
        <f t="shared" si="4"/>
        <v>694.77001806140879</v>
      </c>
      <c r="I34" s="7">
        <f t="shared" si="4"/>
        <v>24.448780487804875</v>
      </c>
      <c r="J34" s="7">
        <f t="shared" si="4"/>
        <v>1222.7402661409562</v>
      </c>
      <c r="K34" s="7">
        <f t="shared" si="4"/>
        <v>1460.0564263322883</v>
      </c>
      <c r="L34" s="7">
        <f t="shared" si="4"/>
        <v>89</v>
      </c>
      <c r="M34" s="7">
        <f t="shared" si="4"/>
        <v>84.618178266061008</v>
      </c>
      <c r="N34" s="7">
        <f t="shared" si="4"/>
        <v>76.976109215017075</v>
      </c>
      <c r="O34" s="7">
        <f t="shared" si="4"/>
        <v>0</v>
      </c>
    </row>
    <row r="35" spans="1:15" hidden="1" x14ac:dyDescent="0.25"/>
    <row r="36" spans="1:15" hidden="1" x14ac:dyDescent="0.25">
      <c r="A36" t="s">
        <v>48</v>
      </c>
      <c r="B36" t="s">
        <v>75</v>
      </c>
    </row>
    <row r="37" spans="1:15" hidden="1" x14ac:dyDescent="0.25">
      <c r="A37" t="s">
        <v>50</v>
      </c>
      <c r="B37" s="7">
        <f>MIN($B$32:$M$32)</f>
        <v>553.17776025236594</v>
      </c>
      <c r="C37" s="7"/>
    </row>
    <row r="38" spans="1:15" hidden="1" x14ac:dyDescent="0.25">
      <c r="A38" t="s">
        <v>51</v>
      </c>
      <c r="B38" s="7">
        <f>MAX(B32:M32)</f>
        <v>63480.052078868415</v>
      </c>
      <c r="C38">
        <f>B38*1.6%</f>
        <v>1015.6808332618947</v>
      </c>
      <c r="D38" t="s">
        <v>78</v>
      </c>
    </row>
    <row r="39" spans="1:15" hidden="1" x14ac:dyDescent="0.25"/>
    <row r="40" spans="1:15" hidden="1" x14ac:dyDescent="0.25">
      <c r="A40" t="s">
        <v>49</v>
      </c>
    </row>
    <row r="41" spans="1:15" hidden="1" x14ac:dyDescent="0.25">
      <c r="A41" t="s">
        <v>50</v>
      </c>
      <c r="B41" s="7">
        <f>MIN(B34:M34)</f>
        <v>21.04802839116719</v>
      </c>
    </row>
    <row r="42" spans="1:15" hidden="1" x14ac:dyDescent="0.25">
      <c r="A42" t="s">
        <v>51</v>
      </c>
      <c r="B42" s="7">
        <f>MAX($B$34:$M$34)</f>
        <v>6700.6909722222217</v>
      </c>
      <c r="C42">
        <f>B42*1.6%</f>
        <v>107.21105555555555</v>
      </c>
      <c r="D42" t="s">
        <v>78</v>
      </c>
    </row>
    <row r="43" spans="1:15" hidden="1" x14ac:dyDescent="0.25">
      <c r="B43" s="7"/>
    </row>
    <row r="44" spans="1:15" hidden="1" x14ac:dyDescent="0.25">
      <c r="A44" t="s">
        <v>63</v>
      </c>
      <c r="B44" s="7" t="s">
        <v>65</v>
      </c>
      <c r="C44" t="s">
        <v>66</v>
      </c>
    </row>
    <row r="45" spans="1:15" hidden="1" x14ac:dyDescent="0.25">
      <c r="A45" t="s">
        <v>50</v>
      </c>
      <c r="B45" s="7">
        <f>B19*L9</f>
        <v>1115.25</v>
      </c>
      <c r="C45" s="7">
        <f>B37*B19</f>
        <v>82.976664037854889</v>
      </c>
    </row>
    <row r="46" spans="1:15" hidden="1" x14ac:dyDescent="0.25">
      <c r="A46" t="s">
        <v>51</v>
      </c>
      <c r="B46" s="7">
        <f>L9*D19</f>
        <v>4163.6000000000004</v>
      </c>
      <c r="C46" s="7">
        <f>B38*D19</f>
        <v>35548.829164166316</v>
      </c>
      <c r="D46">
        <f>C46*1.6%</f>
        <v>568.78126662666102</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743.5</v>
      </c>
      <c r="C50" s="7">
        <f>B38*D20</f>
        <v>6348.0052078868421</v>
      </c>
      <c r="D50">
        <f>C50*1.6%</f>
        <v>101.56808332618948</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872.03561352958138</v>
      </c>
      <c r="C55" s="7">
        <f t="shared" si="5"/>
        <v>215.73220391167189</v>
      </c>
      <c r="D55" s="7">
        <f t="shared" si="5"/>
        <v>23678.624792063492</v>
      </c>
      <c r="E55" s="7">
        <f t="shared" si="5"/>
        <v>24756.402956536651</v>
      </c>
      <c r="F55" s="7">
        <f t="shared" si="5"/>
        <v>5495.2502483129583</v>
      </c>
      <c r="G55" s="7">
        <f t="shared" si="5"/>
        <v>2751.6329935107829</v>
      </c>
      <c r="H55" s="7">
        <f t="shared" si="5"/>
        <v>4308.3031609873569</v>
      </c>
      <c r="I55" s="7">
        <f t="shared" si="5"/>
        <v>2363.4161404878046</v>
      </c>
      <c r="J55" s="7">
        <f t="shared" si="5"/>
        <v>6919.606078659438</v>
      </c>
      <c r="K55" s="7">
        <f t="shared" si="5"/>
        <v>8674.9738389610393</v>
      </c>
      <c r="L55" s="7">
        <f t="shared" si="5"/>
        <v>2899.554268688481</v>
      </c>
      <c r="M55" s="7">
        <f t="shared" si="5"/>
        <v>1966</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35.009616854256855</v>
      </c>
      <c r="C57" s="7">
        <f t="shared" si="6"/>
        <v>8.2084600630914828</v>
      </c>
      <c r="D57" s="7">
        <f t="shared" si="6"/>
        <v>2613.1832026455027</v>
      </c>
      <c r="E57" s="7">
        <f t="shared" si="6"/>
        <v>2050.9638501500208</v>
      </c>
      <c r="F57" s="7">
        <f t="shared" si="6"/>
        <v>94.624416234718836</v>
      </c>
      <c r="G57" s="7">
        <f t="shared" si="6"/>
        <v>45.001346959393814</v>
      </c>
      <c r="H57" s="7">
        <f t="shared" si="6"/>
        <v>270.95136134858518</v>
      </c>
      <c r="I57" s="7">
        <f t="shared" si="6"/>
        <v>9.5347095934959345</v>
      </c>
      <c r="J57" s="7">
        <f t="shared" si="6"/>
        <v>476.8529600788566</v>
      </c>
      <c r="K57" s="7">
        <f t="shared" si="6"/>
        <v>569.40320692640694</v>
      </c>
      <c r="L57" s="7">
        <f t="shared" si="6"/>
        <v>34.708854056930036</v>
      </c>
      <c r="M57" s="7">
        <f t="shared" si="6"/>
        <v>33.000000000000007</v>
      </c>
      <c r="N57" s="7"/>
    </row>
    <row r="58" spans="1:14" hidden="1" x14ac:dyDescent="0.25"/>
    <row r="59" spans="1:14" hidden="1" x14ac:dyDescent="0.25">
      <c r="A59" t="s">
        <v>48</v>
      </c>
    </row>
    <row r="60" spans="1:14" hidden="1" x14ac:dyDescent="0.25">
      <c r="A60" t="s">
        <v>50</v>
      </c>
      <c r="B60" s="7">
        <f>MIN($B$55:$M$55)</f>
        <v>215.73220391167189</v>
      </c>
    </row>
    <row r="61" spans="1:14" hidden="1" x14ac:dyDescent="0.25">
      <c r="A61" t="s">
        <v>51</v>
      </c>
      <c r="B61" s="7">
        <f>MAX($B$55:$M$55)</f>
        <v>24756.402956536651</v>
      </c>
    </row>
    <row r="62" spans="1:14" hidden="1" x14ac:dyDescent="0.25"/>
    <row r="63" spans="1:14" hidden="1" x14ac:dyDescent="0.25">
      <c r="A63" t="s">
        <v>49</v>
      </c>
    </row>
    <row r="64" spans="1:14" hidden="1" x14ac:dyDescent="0.25">
      <c r="A64" t="s">
        <v>50</v>
      </c>
      <c r="B64" s="7">
        <f>MIN($B$57:$M$57)</f>
        <v>8.2084600630914828</v>
      </c>
    </row>
    <row r="65" spans="1:14" hidden="1" x14ac:dyDescent="0.25">
      <c r="A65" t="s">
        <v>51</v>
      </c>
      <c r="B65" s="7">
        <f>MAX($B$57:$M$57)</f>
        <v>2613.1832026455027</v>
      </c>
    </row>
    <row r="66" spans="1:14" hidden="1" x14ac:dyDescent="0.25">
      <c r="B66" s="7"/>
    </row>
    <row r="67" spans="1:14" hidden="1" x14ac:dyDescent="0.25">
      <c r="A67" t="s">
        <v>63</v>
      </c>
      <c r="B67" s="7" t="s">
        <v>77</v>
      </c>
      <c r="C67" t="s">
        <v>76</v>
      </c>
    </row>
    <row r="68" spans="1:14" hidden="1" x14ac:dyDescent="0.25">
      <c r="A68" t="s">
        <v>50</v>
      </c>
      <c r="B68" s="7">
        <f>B19*M9</f>
        <v>294.89999999999998</v>
      </c>
    </row>
    <row r="69" spans="1:14" hidden="1" x14ac:dyDescent="0.25">
      <c r="A69" t="s">
        <v>51</v>
      </c>
      <c r="B69" s="7">
        <f>D19*M9</f>
        <v>1100.96</v>
      </c>
      <c r="C69" s="7">
        <f>B61*D19</f>
        <v>13863.585655660525</v>
      </c>
    </row>
    <row r="70" spans="1:14" hidden="1" x14ac:dyDescent="0.25">
      <c r="B70" s="7"/>
    </row>
    <row r="71" spans="1:14" hidden="1" x14ac:dyDescent="0.25">
      <c r="A71" t="s">
        <v>64</v>
      </c>
      <c r="B71" s="7" t="s">
        <v>77</v>
      </c>
      <c r="C71" t="s">
        <v>76</v>
      </c>
    </row>
    <row r="72" spans="1:14" hidden="1" x14ac:dyDescent="0.25">
      <c r="A72" t="s">
        <v>50</v>
      </c>
      <c r="B72" s="7">
        <f>B20*M9</f>
        <v>98.300000000000011</v>
      </c>
    </row>
    <row r="73" spans="1:14" hidden="1" x14ac:dyDescent="0.25">
      <c r="A73" t="s">
        <v>51</v>
      </c>
      <c r="B73">
        <f>D20*M9</f>
        <v>196.60000000000002</v>
      </c>
      <c r="C73" s="7">
        <f>B61*D20</f>
        <v>2475.6402956536654</v>
      </c>
    </row>
    <row r="75" spans="1:14" x14ac:dyDescent="0.25">
      <c r="A75" s="10" t="s">
        <v>52</v>
      </c>
    </row>
    <row r="77" spans="1:14" x14ac:dyDescent="0.25">
      <c r="A77" s="48" t="s">
        <v>48</v>
      </c>
      <c r="B77" s="43">
        <f t="shared" ref="B77:M77" si="7">B24*$O$6/100000</f>
        <v>32.878537071789317</v>
      </c>
      <c r="C77" s="43">
        <f t="shared" si="7"/>
        <v>8.133795402208202</v>
      </c>
      <c r="D77" s="43">
        <f t="shared" si="7"/>
        <v>892.76003291170639</v>
      </c>
      <c r="E77" s="43">
        <f t="shared" si="7"/>
        <v>933.3957234569225</v>
      </c>
      <c r="F77" s="43">
        <f t="shared" si="7"/>
        <v>207.18854391350857</v>
      </c>
      <c r="G77" s="43">
        <f t="shared" si="7"/>
        <v>103.74538147464541</v>
      </c>
      <c r="H77" s="43">
        <f t="shared" si="7"/>
        <v>162.43683514449125</v>
      </c>
      <c r="I77" s="43">
        <f t="shared" si="7"/>
        <v>89.108362073170724</v>
      </c>
      <c r="J77" s="43">
        <f t="shared" si="7"/>
        <v>260.89132307171019</v>
      </c>
      <c r="K77" s="43">
        <f t="shared" si="7"/>
        <v>327.07431271831615</v>
      </c>
      <c r="L77" s="43">
        <f t="shared" si="7"/>
        <v>109.32248756318171</v>
      </c>
      <c r="M77" s="43">
        <f t="shared" si="7"/>
        <v>74.124500055117409</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1.3199747438672438</v>
      </c>
      <c r="C79" s="43">
        <f t="shared" si="8"/>
        <v>0.30948524842271297</v>
      </c>
      <c r="D79" s="43">
        <f t="shared" si="8"/>
        <v>98.525380696097869</v>
      </c>
      <c r="E79" s="43">
        <f t="shared" si="8"/>
        <v>77.327909472781826</v>
      </c>
      <c r="F79" s="43">
        <f t="shared" si="8"/>
        <v>3.5676437163814185</v>
      </c>
      <c r="G79" s="43">
        <f t="shared" si="8"/>
        <v>1.6966949873712842</v>
      </c>
      <c r="H79" s="43">
        <f t="shared" si="8"/>
        <v>10.215734587597833</v>
      </c>
      <c r="I79" s="43">
        <f t="shared" si="8"/>
        <v>0.35948910569105691</v>
      </c>
      <c r="J79" s="43">
        <f t="shared" si="8"/>
        <v>17.978884672252342</v>
      </c>
      <c r="K79" s="43">
        <f t="shared" si="8"/>
        <v>21.468325556053141</v>
      </c>
      <c r="L79" s="43">
        <f t="shared" si="8"/>
        <v>1.3086350226123971</v>
      </c>
      <c r="M79" s="43">
        <f t="shared" si="8"/>
        <v>1.2442057486362537</v>
      </c>
      <c r="N79" s="7"/>
    </row>
    <row r="81" spans="1:3" x14ac:dyDescent="0.25">
      <c r="A81" s="65" t="s">
        <v>48</v>
      </c>
      <c r="B81" s="65" t="s">
        <v>72</v>
      </c>
      <c r="C81" s="65" t="s">
        <v>73</v>
      </c>
    </row>
    <row r="82" spans="1:3" x14ac:dyDescent="0.25">
      <c r="A82" s="65" t="s">
        <v>50</v>
      </c>
      <c r="B82" s="66">
        <f>MIN($B$77:$M$77)</f>
        <v>8.133795402208202</v>
      </c>
      <c r="C82" s="66">
        <f>MIN($C$77:$M$77)</f>
        <v>8.133795402208202</v>
      </c>
    </row>
    <row r="83" spans="1:3" x14ac:dyDescent="0.25">
      <c r="A83" s="65" t="s">
        <v>51</v>
      </c>
      <c r="B83" s="66">
        <f>MAX($B$77:$M$77)</f>
        <v>933.3957234569225</v>
      </c>
      <c r="C83" s="66">
        <f>MAX($C$77:$M$77)</f>
        <v>933.3957234569225</v>
      </c>
    </row>
    <row r="84" spans="1:3" x14ac:dyDescent="0.25">
      <c r="A84" s="65"/>
      <c r="B84" s="65"/>
      <c r="C84" s="65"/>
    </row>
    <row r="85" spans="1:3" x14ac:dyDescent="0.25">
      <c r="A85" s="65" t="s">
        <v>49</v>
      </c>
      <c r="B85" s="65"/>
      <c r="C85" s="65"/>
    </row>
    <row r="86" spans="1:3" x14ac:dyDescent="0.25">
      <c r="A86" s="65" t="s">
        <v>50</v>
      </c>
      <c r="B86" s="66">
        <f>MIN($B$79:$M$79)</f>
        <v>0.30948524842271297</v>
      </c>
      <c r="C86" s="66">
        <f>MIN($C$79:$M$79)</f>
        <v>0.30948524842271297</v>
      </c>
    </row>
    <row r="87" spans="1:3" x14ac:dyDescent="0.25">
      <c r="A87" s="65" t="s">
        <v>51</v>
      </c>
      <c r="B87" s="66">
        <f>MAX($B$79:$M$79)</f>
        <v>98.525380696097869</v>
      </c>
      <c r="C87" s="66">
        <f>MAX($C$79:$M$79)</f>
        <v>98.525380696097869</v>
      </c>
    </row>
    <row r="88" spans="1:3" x14ac:dyDescent="0.25">
      <c r="A88" s="65"/>
      <c r="B88" s="65"/>
      <c r="C88" s="65"/>
    </row>
    <row r="89" spans="1:3" x14ac:dyDescent="0.25">
      <c r="A89" s="65" t="s">
        <v>27</v>
      </c>
      <c r="B89" s="65"/>
      <c r="C89" s="65"/>
    </row>
    <row r="90" spans="1:3" x14ac:dyDescent="0.25">
      <c r="A90" s="65" t="s">
        <v>50</v>
      </c>
      <c r="B90" s="66">
        <f>B82*$D$19</f>
        <v>4.5549254252365934</v>
      </c>
      <c r="C90" s="66">
        <f>C82*$D$19</f>
        <v>4.5549254252365934</v>
      </c>
    </row>
    <row r="91" spans="1:3" x14ac:dyDescent="0.25">
      <c r="A91" s="65" t="s">
        <v>51</v>
      </c>
      <c r="B91" s="66">
        <f>B83*$D$19</f>
        <v>522.70160513587666</v>
      </c>
      <c r="C91" s="66">
        <f>C83*$D$19</f>
        <v>522.70160513587666</v>
      </c>
    </row>
    <row r="92" spans="1:3" x14ac:dyDescent="0.25">
      <c r="A92" s="65"/>
      <c r="B92" s="66"/>
      <c r="C92" s="65"/>
    </row>
    <row r="93" spans="1:3" x14ac:dyDescent="0.25">
      <c r="A93" s="65" t="s">
        <v>62</v>
      </c>
      <c r="B93" s="66"/>
      <c r="C93" s="65"/>
    </row>
    <row r="94" spans="1:3" x14ac:dyDescent="0.25">
      <c r="A94" s="65" t="s">
        <v>50</v>
      </c>
      <c r="B94" s="66">
        <f>B82*$D$20</f>
        <v>0.81337954022082026</v>
      </c>
      <c r="C94" s="66">
        <f>C82*$D$20</f>
        <v>0.81337954022082026</v>
      </c>
    </row>
    <row r="95" spans="1:3" x14ac:dyDescent="0.25">
      <c r="A95" s="65" t="s">
        <v>51</v>
      </c>
      <c r="B95" s="66">
        <f>B83*$D$20</f>
        <v>93.339572345692261</v>
      </c>
      <c r="C95" s="66">
        <f>C83*$D$20</f>
        <v>93.339572345692261</v>
      </c>
    </row>
  </sheetData>
  <hyperlinks>
    <hyperlink ref="D18" r:id="rId1" xr:uid="{B43D703D-187F-45D0-B7AB-2A23B4949B7D}"/>
    <hyperlink ref="B18" r:id="rId2" xr:uid="{CFF43E26-FED8-48EB-8E2F-E9221544826C}"/>
    <hyperlink ref="B1" r:id="rId3" xr:uid="{8B7A51FA-5E5C-4D3A-8533-26EDC0630B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E47B-D527-4BE2-B280-34E345EFE8D3}">
  <dimension ref="A1:P95"/>
  <sheetViews>
    <sheetView zoomScaleNormal="100" workbookViewId="0">
      <selection activeCell="B1" sqref="B1"/>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43922</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137</v>
      </c>
      <c r="C4" s="54">
        <v>77</v>
      </c>
      <c r="D4" s="54">
        <v>62</v>
      </c>
      <c r="E4" s="54">
        <v>62</v>
      </c>
      <c r="F4" s="54">
        <v>72</v>
      </c>
      <c r="G4" s="54">
        <v>72</v>
      </c>
      <c r="H4" s="54">
        <v>62</v>
      </c>
      <c r="I4" s="54">
        <v>68</v>
      </c>
      <c r="J4" s="54">
        <v>43</v>
      </c>
      <c r="K4" s="57">
        <v>43</v>
      </c>
      <c r="L4" s="62">
        <v>68</v>
      </c>
      <c r="M4" s="54">
        <v>68</v>
      </c>
      <c r="N4" s="54">
        <v>68</v>
      </c>
      <c r="O4" s="67">
        <v>28</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82631</v>
      </c>
      <c r="C9" s="54">
        <v>2178</v>
      </c>
      <c r="D9" s="54">
        <v>105792</v>
      </c>
      <c r="E9" s="54">
        <v>94417</v>
      </c>
      <c r="F9" s="54">
        <v>163199</v>
      </c>
      <c r="G9" s="54">
        <v>9887</v>
      </c>
      <c r="H9" s="54">
        <v>25154</v>
      </c>
      <c r="I9" s="54">
        <v>4707</v>
      </c>
      <c r="J9" s="54">
        <v>44606</v>
      </c>
      <c r="K9" s="57">
        <v>51477</v>
      </c>
      <c r="L9" s="62">
        <v>11268</v>
      </c>
      <c r="M9" s="54">
        <v>2793</v>
      </c>
      <c r="N9" s="54">
        <v>897</v>
      </c>
      <c r="O9" s="67">
        <v>117</v>
      </c>
      <c r="P9" s="1"/>
    </row>
    <row r="10" spans="1:16" x14ac:dyDescent="0.25">
      <c r="A10" s="48" t="s">
        <v>34</v>
      </c>
      <c r="B10" s="54"/>
      <c r="C10" s="54"/>
      <c r="D10" s="54"/>
      <c r="E10" s="54"/>
      <c r="F10" s="54"/>
      <c r="G10" s="54"/>
      <c r="H10" s="54"/>
      <c r="I10" s="54"/>
      <c r="J10" s="54"/>
      <c r="K10" s="57"/>
      <c r="L10" s="62"/>
      <c r="M10" s="54"/>
      <c r="N10" s="54">
        <v>125</v>
      </c>
      <c r="O10" s="67">
        <v>39</v>
      </c>
    </row>
    <row r="11" spans="1:16" x14ac:dyDescent="0.25">
      <c r="A11" s="48" t="s">
        <v>123</v>
      </c>
      <c r="B11" s="54"/>
      <c r="C11" s="54"/>
      <c r="D11" s="54"/>
      <c r="E11" s="54"/>
      <c r="F11" s="54"/>
      <c r="G11" s="54"/>
      <c r="H11" s="54"/>
      <c r="I11" s="54"/>
      <c r="J11" s="54"/>
      <c r="K11" s="57"/>
      <c r="L11" s="62"/>
      <c r="M11" s="54"/>
      <c r="N11" s="54">
        <v>39</v>
      </c>
      <c r="O11" s="67">
        <v>17</v>
      </c>
    </row>
    <row r="12" spans="1:16" x14ac:dyDescent="0.25">
      <c r="A12" s="48" t="s">
        <v>35</v>
      </c>
      <c r="B12" s="54">
        <v>3321</v>
      </c>
      <c r="C12" s="54">
        <v>57</v>
      </c>
      <c r="D12" s="54">
        <v>12430</v>
      </c>
      <c r="E12" s="54">
        <v>8189</v>
      </c>
      <c r="F12" s="54">
        <v>2850</v>
      </c>
      <c r="G12" s="54">
        <v>165</v>
      </c>
      <c r="H12" s="54">
        <v>1789</v>
      </c>
      <c r="I12" s="54">
        <v>20</v>
      </c>
      <c r="J12" s="54">
        <v>2898</v>
      </c>
      <c r="K12" s="57">
        <v>3514</v>
      </c>
      <c r="L12" s="62">
        <v>138</v>
      </c>
      <c r="M12" s="54">
        <v>53</v>
      </c>
      <c r="N12" s="54">
        <v>11</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4.0190727450956663E-2</v>
      </c>
      <c r="C16" s="71">
        <f t="shared" ref="C16:O16" si="0">C12/C9</f>
        <v>2.6170798898071626E-2</v>
      </c>
      <c r="D16" s="71">
        <f t="shared" si="0"/>
        <v>0.11749470659407138</v>
      </c>
      <c r="E16" s="71">
        <f t="shared" si="0"/>
        <v>8.6732262198544754E-2</v>
      </c>
      <c r="F16" s="71">
        <f t="shared" si="0"/>
        <v>1.7463342299891542E-2</v>
      </c>
      <c r="G16" s="71">
        <f t="shared" si="0"/>
        <v>1.6688580964903409E-2</v>
      </c>
      <c r="H16" s="71">
        <f t="shared" si="0"/>
        <v>7.1121889162757412E-2</v>
      </c>
      <c r="I16" s="71">
        <f t="shared" si="0"/>
        <v>4.2489908646696408E-3</v>
      </c>
      <c r="J16" s="71">
        <f t="shared" si="0"/>
        <v>6.4968838272878082E-2</v>
      </c>
      <c r="K16" s="71">
        <f t="shared" si="0"/>
        <v>6.8263496318744288E-2</v>
      </c>
      <c r="L16" s="71">
        <f t="shared" si="0"/>
        <v>1.2247071352502662E-2</v>
      </c>
      <c r="M16" s="71">
        <f t="shared" si="0"/>
        <v>1.8976011457214465E-2</v>
      </c>
      <c r="N16" s="71">
        <f t="shared" si="0"/>
        <v>1.2263099219620958E-2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0.13935340022296544</v>
      </c>
      <c r="O19" s="72">
        <f>O10/O9</f>
        <v>0.33333333333333331</v>
      </c>
    </row>
    <row r="20" spans="1:15" x14ac:dyDescent="0.25">
      <c r="A20" s="48" t="s">
        <v>59</v>
      </c>
      <c r="B20" s="72">
        <v>0.05</v>
      </c>
      <c r="C20" s="72"/>
      <c r="D20" s="72">
        <v>0.1</v>
      </c>
      <c r="E20" s="72"/>
      <c r="F20" s="72"/>
      <c r="G20" s="72"/>
      <c r="H20" s="72"/>
      <c r="I20" s="72"/>
      <c r="J20" s="72"/>
      <c r="K20" s="72"/>
      <c r="L20" s="72"/>
      <c r="M20" s="72"/>
      <c r="N20" s="72">
        <f>N11/N9</f>
        <v>4.3478260869565216E-2</v>
      </c>
      <c r="O20" s="72">
        <f>O11/O9</f>
        <v>0.14529914529914531</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5.9618326118326124</v>
      </c>
      <c r="C24" s="66">
        <f t="shared" si="1"/>
        <v>1.7176656151419558</v>
      </c>
      <c r="D24" s="66">
        <f t="shared" si="1"/>
        <v>174.92063492063494</v>
      </c>
      <c r="E24" s="66">
        <f t="shared" si="1"/>
        <v>202.35105015002142</v>
      </c>
      <c r="F24" s="66">
        <f t="shared" si="1"/>
        <v>49.877444987775064</v>
      </c>
      <c r="G24" s="66">
        <f t="shared" si="1"/>
        <v>19.209248105692634</v>
      </c>
      <c r="H24" s="66">
        <f t="shared" si="1"/>
        <v>37.859723058398558</v>
      </c>
      <c r="I24" s="66">
        <f t="shared" si="1"/>
        <v>19.134146341463413</v>
      </c>
      <c r="J24" s="66">
        <f t="shared" si="1"/>
        <v>54.960571710202068</v>
      </c>
      <c r="K24" s="66">
        <f t="shared" si="1"/>
        <v>76.842812360053742</v>
      </c>
      <c r="L24" s="66">
        <f t="shared" si="1"/>
        <v>29.976057462090981</v>
      </c>
      <c r="M24" s="66">
        <f t="shared" si="1"/>
        <v>19.052340798012718</v>
      </c>
      <c r="N24" s="66">
        <f>N9/$N$6*100000</f>
        <v>30.61433447098976</v>
      </c>
      <c r="O24" s="66">
        <f>O9/$O$6*100000</f>
        <v>21.168252325567721</v>
      </c>
    </row>
    <row r="25" spans="1:15" x14ac:dyDescent="0.25">
      <c r="A25" s="48" t="s">
        <v>34</v>
      </c>
      <c r="B25" s="65"/>
      <c r="C25" s="65"/>
      <c r="D25" s="65"/>
      <c r="E25" s="65"/>
      <c r="F25" s="65"/>
      <c r="G25" s="65"/>
      <c r="H25" s="65"/>
      <c r="I25" s="65"/>
      <c r="J25" s="65"/>
      <c r="K25" s="65"/>
      <c r="L25" s="65"/>
      <c r="M25" s="65"/>
      <c r="N25" s="66">
        <f>N10/$N$6*100000</f>
        <v>4.2662116040955631</v>
      </c>
      <c r="O25" s="66">
        <f>O10/$O$6*100000</f>
        <v>7.0560841085225734</v>
      </c>
    </row>
    <row r="26" spans="1:15" x14ac:dyDescent="0.25">
      <c r="A26" s="48" t="s">
        <v>35</v>
      </c>
      <c r="B26" s="66">
        <f>B12/B6*100000</f>
        <v>0.23961038961038961</v>
      </c>
      <c r="C26" s="66">
        <f t="shared" ref="C26:O26" si="2">C12/C6*100000</f>
        <v>4.4952681388012616E-2</v>
      </c>
      <c r="D26" s="66">
        <f t="shared" si="2"/>
        <v>20.552248677248677</v>
      </c>
      <c r="E26" s="66">
        <f t="shared" si="2"/>
        <v>17.550364337762538</v>
      </c>
      <c r="F26" s="66">
        <f t="shared" si="2"/>
        <v>0.87102689486552565</v>
      </c>
      <c r="G26" s="66">
        <f t="shared" si="2"/>
        <v>0.320575092286769</v>
      </c>
      <c r="H26" s="66">
        <f t="shared" si="2"/>
        <v>2.6926550270921132</v>
      </c>
      <c r="I26" s="66">
        <f t="shared" si="2"/>
        <v>8.1300813008130079E-2</v>
      </c>
      <c r="J26" s="66">
        <f t="shared" si="2"/>
        <v>3.5707244948250372</v>
      </c>
      <c r="K26" s="66">
        <f t="shared" si="2"/>
        <v>5.2455590386624866</v>
      </c>
      <c r="L26" s="66">
        <f t="shared" si="2"/>
        <v>0.36711891460494817</v>
      </c>
      <c r="M26" s="66">
        <f t="shared" si="2"/>
        <v>0.36153743726984394</v>
      </c>
      <c r="N26" s="66">
        <f t="shared" si="2"/>
        <v>0.37542662116040953</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2241.0528787878789</v>
      </c>
      <c r="C32" s="7">
        <f t="shared" si="3"/>
        <v>645.67050473186123</v>
      </c>
      <c r="D32" s="7">
        <f t="shared" si="3"/>
        <v>65752.666666666672</v>
      </c>
      <c r="E32" s="7">
        <f t="shared" si="3"/>
        <v>76063.759751393052</v>
      </c>
      <c r="F32" s="7">
        <f t="shared" si="3"/>
        <v>18748.931570904646</v>
      </c>
      <c r="G32" s="7">
        <f t="shared" si="3"/>
        <v>7220.7563629298611</v>
      </c>
      <c r="H32" s="7">
        <f t="shared" si="3"/>
        <v>14231.469897652018</v>
      </c>
      <c r="I32" s="7">
        <f t="shared" si="3"/>
        <v>7192.5256097560969</v>
      </c>
      <c r="J32" s="7">
        <f t="shared" si="3"/>
        <v>20659.678905864956</v>
      </c>
      <c r="K32" s="7">
        <f t="shared" si="3"/>
        <v>28885.2131661442</v>
      </c>
      <c r="L32" s="7">
        <f t="shared" si="3"/>
        <v>11268</v>
      </c>
      <c r="M32" s="7">
        <f t="shared" si="3"/>
        <v>7161.7749059729804</v>
      </c>
      <c r="N32" s="7">
        <f t="shared" si="3"/>
        <v>11507.928327645051</v>
      </c>
      <c r="O32" s="7">
        <f t="shared" si="3"/>
        <v>7957.1460491809057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90.069545454545448</v>
      </c>
      <c r="C34" s="7">
        <f t="shared" si="4"/>
        <v>16.897712933753944</v>
      </c>
      <c r="D34" s="7">
        <f t="shared" si="4"/>
        <v>7725.5902777777783</v>
      </c>
      <c r="E34" s="7">
        <f t="shared" si="4"/>
        <v>6597.1819545649387</v>
      </c>
      <c r="F34" s="7">
        <f t="shared" si="4"/>
        <v>327.41900977995107</v>
      </c>
      <c r="G34" s="7">
        <f t="shared" si="4"/>
        <v>120.50417719059647</v>
      </c>
      <c r="H34" s="7">
        <f t="shared" si="4"/>
        <v>1012.1690246839254</v>
      </c>
      <c r="I34" s="7">
        <f t="shared" si="4"/>
        <v>30.560975609756099</v>
      </c>
      <c r="J34" s="7">
        <f t="shared" si="4"/>
        <v>1342.2353376047315</v>
      </c>
      <c r="K34" s="7">
        <f t="shared" si="4"/>
        <v>1971.8056426332287</v>
      </c>
      <c r="L34" s="7">
        <f t="shared" si="4"/>
        <v>138.00000000000003</v>
      </c>
      <c r="M34" s="7">
        <f t="shared" si="4"/>
        <v>135.90192266973435</v>
      </c>
      <c r="N34" s="7">
        <f t="shared" si="4"/>
        <v>141.12286689419795</v>
      </c>
      <c r="O34" s="7">
        <f t="shared" si="4"/>
        <v>0</v>
      </c>
    </row>
    <row r="35" spans="1:15" hidden="1" x14ac:dyDescent="0.25"/>
    <row r="36" spans="1:15" hidden="1" x14ac:dyDescent="0.25">
      <c r="A36" t="s">
        <v>48</v>
      </c>
      <c r="B36" t="s">
        <v>75</v>
      </c>
    </row>
    <row r="37" spans="1:15" hidden="1" x14ac:dyDescent="0.25">
      <c r="A37" t="s">
        <v>50</v>
      </c>
      <c r="B37" s="7">
        <f>MIN($B$32:$M$32)</f>
        <v>645.67050473186123</v>
      </c>
      <c r="C37" s="7"/>
    </row>
    <row r="38" spans="1:15" hidden="1" x14ac:dyDescent="0.25">
      <c r="A38" t="s">
        <v>51</v>
      </c>
      <c r="B38" s="7">
        <f>MAX(B32:M32)</f>
        <v>76063.759751393052</v>
      </c>
      <c r="C38">
        <f>B38*1.6%</f>
        <v>1217.0201560222888</v>
      </c>
      <c r="D38" t="s">
        <v>78</v>
      </c>
    </row>
    <row r="39" spans="1:15" hidden="1" x14ac:dyDescent="0.25"/>
    <row r="40" spans="1:15" hidden="1" x14ac:dyDescent="0.25">
      <c r="A40" t="s">
        <v>49</v>
      </c>
    </row>
    <row r="41" spans="1:15" hidden="1" x14ac:dyDescent="0.25">
      <c r="A41" t="s">
        <v>50</v>
      </c>
      <c r="B41" s="7">
        <f>MIN(B34:M34)</f>
        <v>16.897712933753944</v>
      </c>
    </row>
    <row r="42" spans="1:15" hidden="1" x14ac:dyDescent="0.25">
      <c r="A42" t="s">
        <v>51</v>
      </c>
      <c r="B42" s="7">
        <f>MAX($B$34:$M$34)</f>
        <v>7725.5902777777783</v>
      </c>
      <c r="C42">
        <f>B42*1.6%</f>
        <v>123.60944444444445</v>
      </c>
      <c r="D42" t="s">
        <v>78</v>
      </c>
    </row>
    <row r="43" spans="1:15" hidden="1" x14ac:dyDescent="0.25">
      <c r="B43" s="7"/>
    </row>
    <row r="44" spans="1:15" hidden="1" x14ac:dyDescent="0.25">
      <c r="A44" t="s">
        <v>63</v>
      </c>
      <c r="B44" s="7" t="s">
        <v>65</v>
      </c>
      <c r="C44" t="s">
        <v>66</v>
      </c>
    </row>
    <row r="45" spans="1:15" hidden="1" x14ac:dyDescent="0.25">
      <c r="A45" t="s">
        <v>50</v>
      </c>
      <c r="B45" s="7">
        <f>B19*L9</f>
        <v>1690.2</v>
      </c>
      <c r="C45" s="7">
        <f>B37*B19</f>
        <v>96.850575709779179</v>
      </c>
    </row>
    <row r="46" spans="1:15" hidden="1" x14ac:dyDescent="0.25">
      <c r="A46" t="s">
        <v>51</v>
      </c>
      <c r="B46" s="7">
        <f>L9*D19</f>
        <v>6310.0800000000008</v>
      </c>
      <c r="C46" s="7">
        <f>B38*D19</f>
        <v>42595.705460780111</v>
      </c>
      <c r="D46">
        <f>C46*1.6%</f>
        <v>681.53128737248176</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1126.8</v>
      </c>
      <c r="C50" s="7">
        <f>B38*D20</f>
        <v>7606.3759751393054</v>
      </c>
      <c r="D50">
        <f>C50*1.6%</f>
        <v>121.70201560222888</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873.9817674574316</v>
      </c>
      <c r="C55" s="7">
        <f t="shared" si="5"/>
        <v>251.80318334384859</v>
      </c>
      <c r="D55" s="7">
        <f t="shared" si="5"/>
        <v>25642.693384126989</v>
      </c>
      <c r="E55" s="7">
        <f t="shared" si="5"/>
        <v>29663.886923960566</v>
      </c>
      <c r="F55" s="7">
        <f t="shared" si="5"/>
        <v>7311.8419058190711</v>
      </c>
      <c r="G55" s="7">
        <f t="shared" si="5"/>
        <v>2816.0020087818139</v>
      </c>
      <c r="H55" s="7">
        <f t="shared" si="5"/>
        <v>5550.0900190246848</v>
      </c>
      <c r="I55" s="7">
        <f t="shared" si="5"/>
        <v>2804.992378536585</v>
      </c>
      <c r="J55" s="7">
        <f t="shared" si="5"/>
        <v>8057.0087641202554</v>
      </c>
      <c r="K55" s="7">
        <f t="shared" si="5"/>
        <v>11264.861215584417</v>
      </c>
      <c r="L55" s="7">
        <f t="shared" si="5"/>
        <v>4394.3749158818837</v>
      </c>
      <c r="M55" s="7">
        <f t="shared" si="5"/>
        <v>2793</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35.125963012987015</v>
      </c>
      <c r="C57" s="7">
        <f t="shared" si="6"/>
        <v>6.5898904731861201</v>
      </c>
      <c r="D57" s="7">
        <f t="shared" si="6"/>
        <v>3012.8807354497353</v>
      </c>
      <c r="E57" s="7">
        <f t="shared" si="6"/>
        <v>2572.8160185169309</v>
      </c>
      <c r="F57" s="7">
        <f t="shared" si="6"/>
        <v>127.68919804400977</v>
      </c>
      <c r="G57" s="7">
        <f t="shared" si="6"/>
        <v>46.99507752088595</v>
      </c>
      <c r="H57" s="7">
        <f t="shared" si="6"/>
        <v>394.73288717639974</v>
      </c>
      <c r="I57" s="7">
        <f t="shared" si="6"/>
        <v>11.918386991869919</v>
      </c>
      <c r="J57" s="7">
        <f t="shared" si="6"/>
        <v>523.45449935929025</v>
      </c>
      <c r="K57" s="7">
        <f t="shared" si="6"/>
        <v>768.97881212121206</v>
      </c>
      <c r="L57" s="7">
        <f t="shared" si="6"/>
        <v>53.81822314445332</v>
      </c>
      <c r="M57" s="7">
        <f t="shared" si="6"/>
        <v>53.000000000000007</v>
      </c>
      <c r="N57" s="7"/>
    </row>
    <row r="58" spans="1:14" hidden="1" x14ac:dyDescent="0.25"/>
    <row r="59" spans="1:14" hidden="1" x14ac:dyDescent="0.25">
      <c r="A59" t="s">
        <v>48</v>
      </c>
    </row>
    <row r="60" spans="1:14" hidden="1" x14ac:dyDescent="0.25">
      <c r="A60" t="s">
        <v>50</v>
      </c>
      <c r="B60" s="7">
        <f>MIN($B$55:$M$55)</f>
        <v>251.80318334384859</v>
      </c>
    </row>
    <row r="61" spans="1:14" hidden="1" x14ac:dyDescent="0.25">
      <c r="A61" t="s">
        <v>51</v>
      </c>
      <c r="B61" s="7">
        <f>MAX($B$55:$M$55)</f>
        <v>29663.886923960566</v>
      </c>
    </row>
    <row r="62" spans="1:14" hidden="1" x14ac:dyDescent="0.25"/>
    <row r="63" spans="1:14" hidden="1" x14ac:dyDescent="0.25">
      <c r="A63" t="s">
        <v>49</v>
      </c>
    </row>
    <row r="64" spans="1:14" hidden="1" x14ac:dyDescent="0.25">
      <c r="A64" t="s">
        <v>50</v>
      </c>
      <c r="B64" s="7">
        <f>MIN($B$57:$M$57)</f>
        <v>6.5898904731861201</v>
      </c>
    </row>
    <row r="65" spans="1:14" hidden="1" x14ac:dyDescent="0.25">
      <c r="A65" t="s">
        <v>51</v>
      </c>
      <c r="B65" s="7">
        <f>MAX($B$57:$M$57)</f>
        <v>3012.8807354497353</v>
      </c>
    </row>
    <row r="66" spans="1:14" hidden="1" x14ac:dyDescent="0.25">
      <c r="B66" s="7"/>
    </row>
    <row r="67" spans="1:14" hidden="1" x14ac:dyDescent="0.25">
      <c r="A67" t="s">
        <v>63</v>
      </c>
      <c r="B67" s="7" t="s">
        <v>77</v>
      </c>
      <c r="C67" t="s">
        <v>76</v>
      </c>
    </row>
    <row r="68" spans="1:14" hidden="1" x14ac:dyDescent="0.25">
      <c r="A68" t="s">
        <v>50</v>
      </c>
      <c r="B68" s="7">
        <f>B19*M9</f>
        <v>418.95</v>
      </c>
    </row>
    <row r="69" spans="1:14" hidden="1" x14ac:dyDescent="0.25">
      <c r="A69" t="s">
        <v>51</v>
      </c>
      <c r="B69" s="7">
        <f>D19*M9</f>
        <v>1564.0800000000002</v>
      </c>
      <c r="C69" s="7">
        <f>B61*D19</f>
        <v>16611.776677417918</v>
      </c>
    </row>
    <row r="70" spans="1:14" hidden="1" x14ac:dyDescent="0.25">
      <c r="B70" s="7"/>
    </row>
    <row r="71" spans="1:14" hidden="1" x14ac:dyDescent="0.25">
      <c r="A71" t="s">
        <v>64</v>
      </c>
      <c r="B71" s="7" t="s">
        <v>77</v>
      </c>
      <c r="C71" t="s">
        <v>76</v>
      </c>
    </row>
    <row r="72" spans="1:14" hidden="1" x14ac:dyDescent="0.25">
      <c r="A72" t="s">
        <v>50</v>
      </c>
      <c r="B72" s="7">
        <f>B20*M9</f>
        <v>139.65</v>
      </c>
    </row>
    <row r="73" spans="1:14" hidden="1" x14ac:dyDescent="0.25">
      <c r="A73" t="s">
        <v>51</v>
      </c>
      <c r="B73">
        <f>D20*M9</f>
        <v>279.3</v>
      </c>
      <c r="C73" s="7">
        <f>B61*D20</f>
        <v>2966.3886923960567</v>
      </c>
    </row>
    <row r="75" spans="1:14" x14ac:dyDescent="0.25">
      <c r="A75" s="10" t="s">
        <v>52</v>
      </c>
    </row>
    <row r="77" spans="1:14" x14ac:dyDescent="0.25">
      <c r="A77" s="48" t="s">
        <v>48</v>
      </c>
      <c r="B77" s="43">
        <f t="shared" ref="B77:M77" si="7">B24*$O$6/100000</f>
        <v>32.951913311327566</v>
      </c>
      <c r="C77" s="43">
        <f t="shared" si="7"/>
        <v>9.4937869164037849</v>
      </c>
      <c r="D77" s="43">
        <f t="shared" si="7"/>
        <v>966.81171269841286</v>
      </c>
      <c r="E77" s="43">
        <f t="shared" si="7"/>
        <v>1118.4235950814402</v>
      </c>
      <c r="F77" s="43">
        <f t="shared" si="7"/>
        <v>275.679870676956</v>
      </c>
      <c r="G77" s="43">
        <f t="shared" si="7"/>
        <v>106.17229962113852</v>
      </c>
      <c r="H77" s="43">
        <f t="shared" si="7"/>
        <v>209.25617900361229</v>
      </c>
      <c r="I77" s="43">
        <f t="shared" si="7"/>
        <v>105.75720128048779</v>
      </c>
      <c r="J77" s="43">
        <f t="shared" si="7"/>
        <v>303.77504912518481</v>
      </c>
      <c r="K77" s="43">
        <f t="shared" si="7"/>
        <v>424.72136612180924</v>
      </c>
      <c r="L77" s="43">
        <f t="shared" si="7"/>
        <v>165.68201612130886</v>
      </c>
      <c r="M77" s="43">
        <f t="shared" si="7"/>
        <v>105.30505018003201</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1.3243613668831169</v>
      </c>
      <c r="C79" s="43">
        <f t="shared" si="8"/>
        <v>0.24845998817034698</v>
      </c>
      <c r="D79" s="43">
        <f t="shared" si="8"/>
        <v>113.59525851521164</v>
      </c>
      <c r="E79" s="43">
        <f t="shared" si="8"/>
        <v>97.003408497642525</v>
      </c>
      <c r="F79" s="43">
        <f t="shared" si="8"/>
        <v>4.8142919468215162</v>
      </c>
      <c r="G79" s="43">
        <f t="shared" si="8"/>
        <v>1.7718650184573539</v>
      </c>
      <c r="H79" s="43">
        <f t="shared" si="8"/>
        <v>14.882694769717038</v>
      </c>
      <c r="I79" s="43">
        <f t="shared" si="8"/>
        <v>0.44936138211382115</v>
      </c>
      <c r="J79" s="43">
        <f t="shared" si="8"/>
        <v>19.735912037949731</v>
      </c>
      <c r="K79" s="43">
        <f t="shared" si="8"/>
        <v>28.992965412748173</v>
      </c>
      <c r="L79" s="43">
        <f t="shared" si="8"/>
        <v>2.0291194732641662</v>
      </c>
      <c r="M79" s="43">
        <f t="shared" si="8"/>
        <v>1.9982698387188316</v>
      </c>
      <c r="N79" s="7"/>
    </row>
    <row r="81" spans="1:3" x14ac:dyDescent="0.25">
      <c r="A81" s="65" t="s">
        <v>48</v>
      </c>
      <c r="B81" s="65" t="s">
        <v>72</v>
      </c>
      <c r="C81" s="65" t="s">
        <v>73</v>
      </c>
    </row>
    <row r="82" spans="1:3" x14ac:dyDescent="0.25">
      <c r="A82" s="65" t="s">
        <v>50</v>
      </c>
      <c r="B82" s="66">
        <f>MIN($B$77:$M$77)</f>
        <v>9.4937869164037849</v>
      </c>
      <c r="C82" s="66">
        <f>MIN($C$77:$M$77)</f>
        <v>9.4937869164037849</v>
      </c>
    </row>
    <row r="83" spans="1:3" x14ac:dyDescent="0.25">
      <c r="A83" s="65" t="s">
        <v>51</v>
      </c>
      <c r="B83" s="66">
        <f>MAX($B$77:$M$77)</f>
        <v>1118.4235950814402</v>
      </c>
      <c r="C83" s="66">
        <f>MAX($C$77:$M$77)</f>
        <v>1118.4235950814402</v>
      </c>
    </row>
    <row r="84" spans="1:3" x14ac:dyDescent="0.25">
      <c r="A84" s="65"/>
      <c r="B84" s="65"/>
      <c r="C84" s="65"/>
    </row>
    <row r="85" spans="1:3" x14ac:dyDescent="0.25">
      <c r="A85" s="65" t="s">
        <v>49</v>
      </c>
      <c r="B85" s="65"/>
      <c r="C85" s="65"/>
    </row>
    <row r="86" spans="1:3" x14ac:dyDescent="0.25">
      <c r="A86" s="65" t="s">
        <v>50</v>
      </c>
      <c r="B86" s="66">
        <f>MIN($B$79:$M$79)</f>
        <v>0.24845998817034698</v>
      </c>
      <c r="C86" s="66">
        <f>MIN($C$79:$M$79)</f>
        <v>0.24845998817034698</v>
      </c>
    </row>
    <row r="87" spans="1:3" x14ac:dyDescent="0.25">
      <c r="A87" s="65" t="s">
        <v>51</v>
      </c>
      <c r="B87" s="66">
        <f>MAX($B$79:$M$79)</f>
        <v>113.59525851521164</v>
      </c>
      <c r="C87" s="66">
        <f>MAX($C$79:$M$79)</f>
        <v>113.59525851521164</v>
      </c>
    </row>
    <row r="88" spans="1:3" x14ac:dyDescent="0.25">
      <c r="A88" s="65"/>
      <c r="B88" s="65"/>
      <c r="C88" s="65"/>
    </row>
    <row r="89" spans="1:3" x14ac:dyDescent="0.25">
      <c r="A89" s="65" t="s">
        <v>27</v>
      </c>
      <c r="B89" s="65"/>
      <c r="C89" s="65"/>
    </row>
    <row r="90" spans="1:3" x14ac:dyDescent="0.25">
      <c r="A90" s="65" t="s">
        <v>50</v>
      </c>
      <c r="B90" s="66">
        <f>B82*$D$19</f>
        <v>5.3165206731861199</v>
      </c>
      <c r="C90" s="66">
        <f>C82*$D$19</f>
        <v>5.3165206731861199</v>
      </c>
    </row>
    <row r="91" spans="1:3" x14ac:dyDescent="0.25">
      <c r="A91" s="65" t="s">
        <v>51</v>
      </c>
      <c r="B91" s="66">
        <f>B83*$D$19</f>
        <v>626.31721324560658</v>
      </c>
      <c r="C91" s="66">
        <f>C83*$D$19</f>
        <v>626.31721324560658</v>
      </c>
    </row>
    <row r="92" spans="1:3" x14ac:dyDescent="0.25">
      <c r="A92" s="65"/>
      <c r="B92" s="66"/>
      <c r="C92" s="65"/>
    </row>
    <row r="93" spans="1:3" x14ac:dyDescent="0.25">
      <c r="A93" s="65" t="s">
        <v>62</v>
      </c>
      <c r="B93" s="66"/>
      <c r="C93" s="65"/>
    </row>
    <row r="94" spans="1:3" x14ac:dyDescent="0.25">
      <c r="A94" s="65" t="s">
        <v>50</v>
      </c>
      <c r="B94" s="66">
        <f>B82*$D$20</f>
        <v>0.94937869164037858</v>
      </c>
      <c r="C94" s="66">
        <f>C82*$D$20</f>
        <v>0.94937869164037858</v>
      </c>
    </row>
    <row r="95" spans="1:3" x14ac:dyDescent="0.25">
      <c r="A95" s="65" t="s">
        <v>51</v>
      </c>
      <c r="B95" s="66">
        <f>B83*$D$20</f>
        <v>111.84235950814403</v>
      </c>
      <c r="C95" s="66">
        <f>C83*$D$20</f>
        <v>111.84235950814403</v>
      </c>
    </row>
  </sheetData>
  <hyperlinks>
    <hyperlink ref="D18" r:id="rId1" xr:uid="{2B96060A-91A7-469C-AE60-D495F24D25D4}"/>
    <hyperlink ref="B18" r:id="rId2" xr:uid="{E9EA3E7A-B768-4AF6-99BC-1F5C59D4E281}"/>
    <hyperlink ref="B1" r:id="rId3" xr:uid="{DB112770-4335-40F8-92E1-4E6FA6DC006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D22BB-76FB-47D8-BEB0-F8EFD90C3551}">
  <dimension ref="A1:P95"/>
  <sheetViews>
    <sheetView topLeftCell="C1" zoomScaleNormal="100" workbookViewId="0">
      <selection activeCell="E24" sqref="E24"/>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43922</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138</v>
      </c>
      <c r="C4" s="54">
        <v>78</v>
      </c>
      <c r="D4" s="54">
        <v>63</v>
      </c>
      <c r="E4" s="54">
        <v>63</v>
      </c>
      <c r="F4" s="54">
        <v>73</v>
      </c>
      <c r="G4" s="54">
        <v>73</v>
      </c>
      <c r="H4" s="54">
        <v>63</v>
      </c>
      <c r="I4" s="54">
        <v>69</v>
      </c>
      <c r="J4" s="54">
        <v>44</v>
      </c>
      <c r="K4" s="57">
        <v>44</v>
      </c>
      <c r="L4" s="62">
        <v>69</v>
      </c>
      <c r="M4" s="54">
        <v>69</v>
      </c>
      <c r="N4" s="54">
        <v>69</v>
      </c>
      <c r="O4" s="67">
        <v>29</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82724</v>
      </c>
      <c r="C9" s="54">
        <v>2384</v>
      </c>
      <c r="D9" s="54">
        <v>110574</v>
      </c>
      <c r="E9" s="54">
        <v>102136</v>
      </c>
      <c r="F9" s="54">
        <v>187302</v>
      </c>
      <c r="G9" s="54">
        <v>9976</v>
      </c>
      <c r="H9" s="54">
        <v>29478</v>
      </c>
      <c r="I9" s="54">
        <v>4976</v>
      </c>
      <c r="J9" s="54">
        <v>47593</v>
      </c>
      <c r="K9" s="57">
        <v>56261</v>
      </c>
      <c r="L9" s="62">
        <v>11732</v>
      </c>
      <c r="M9" s="54">
        <v>2793</v>
      </c>
      <c r="N9" s="54">
        <v>897</v>
      </c>
      <c r="O9" s="67">
        <v>117</v>
      </c>
      <c r="P9" s="1"/>
    </row>
    <row r="10" spans="1:16" x14ac:dyDescent="0.25">
      <c r="A10" s="48" t="s">
        <v>34</v>
      </c>
      <c r="B10" s="54"/>
      <c r="C10" s="54"/>
      <c r="D10" s="54"/>
      <c r="E10" s="54"/>
      <c r="F10" s="54"/>
      <c r="G10" s="54"/>
      <c r="H10" s="54"/>
      <c r="I10" s="54"/>
      <c r="J10" s="54"/>
      <c r="K10" s="57"/>
      <c r="L10" s="62"/>
      <c r="M10" s="54"/>
      <c r="N10" s="54">
        <v>125</v>
      </c>
      <c r="O10" s="67">
        <v>39</v>
      </c>
    </row>
    <row r="11" spans="1:16" x14ac:dyDescent="0.25">
      <c r="A11" s="48" t="s">
        <v>123</v>
      </c>
      <c r="B11" s="54"/>
      <c r="C11" s="54"/>
      <c r="D11" s="54"/>
      <c r="E11" s="54"/>
      <c r="F11" s="54"/>
      <c r="G11" s="54"/>
      <c r="H11" s="54"/>
      <c r="I11" s="54"/>
      <c r="J11" s="54"/>
      <c r="K11" s="57"/>
      <c r="L11" s="62"/>
      <c r="M11" s="54"/>
      <c r="N11" s="54">
        <v>39</v>
      </c>
      <c r="O11" s="67">
        <v>17</v>
      </c>
    </row>
    <row r="12" spans="1:16" x14ac:dyDescent="0.25">
      <c r="A12" s="48" t="s">
        <v>35</v>
      </c>
      <c r="B12" s="54">
        <v>3327</v>
      </c>
      <c r="C12" s="54">
        <v>57</v>
      </c>
      <c r="D12" s="54">
        <v>13157</v>
      </c>
      <c r="E12" s="54">
        <v>9053</v>
      </c>
      <c r="F12" s="54">
        <v>3846</v>
      </c>
      <c r="G12" s="54">
        <v>169</v>
      </c>
      <c r="H12" s="54">
        <v>2532</v>
      </c>
      <c r="I12" s="54">
        <v>21</v>
      </c>
      <c r="J12" s="54">
        <v>3036</v>
      </c>
      <c r="K12" s="57">
        <v>4019</v>
      </c>
      <c r="L12" s="62">
        <v>152</v>
      </c>
      <c r="M12" s="54">
        <v>53</v>
      </c>
      <c r="N12" s="54">
        <v>11</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4.0218074561191433E-2</v>
      </c>
      <c r="C16" s="71">
        <f t="shared" ref="C16:O16" si="0">C12/C9</f>
        <v>2.3909395973154363E-2</v>
      </c>
      <c r="D16" s="71">
        <f t="shared" si="0"/>
        <v>0.11898818890516757</v>
      </c>
      <c r="E16" s="71">
        <f t="shared" si="0"/>
        <v>8.8636719667893785E-2</v>
      </c>
      <c r="F16" s="71">
        <f t="shared" si="0"/>
        <v>2.0533683569849762E-2</v>
      </c>
      <c r="G16" s="71">
        <f t="shared" si="0"/>
        <v>1.6940657578187652E-2</v>
      </c>
      <c r="H16" s="71">
        <f t="shared" si="0"/>
        <v>8.5894565438632206E-2</v>
      </c>
      <c r="I16" s="71">
        <f t="shared" si="0"/>
        <v>4.2202572347266884E-3</v>
      </c>
      <c r="J16" s="71">
        <f t="shared" si="0"/>
        <v>6.3790893618809491E-2</v>
      </c>
      <c r="K16" s="71">
        <f t="shared" si="0"/>
        <v>7.1434919393540824E-2</v>
      </c>
      <c r="L16" s="71">
        <f t="shared" si="0"/>
        <v>1.2956017729287419E-2</v>
      </c>
      <c r="M16" s="71">
        <f t="shared" si="0"/>
        <v>1.8976011457214465E-2</v>
      </c>
      <c r="N16" s="71">
        <f t="shared" si="0"/>
        <v>1.2263099219620958E-2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0.13935340022296544</v>
      </c>
      <c r="O19" s="72">
        <f>O10/O9</f>
        <v>0.33333333333333331</v>
      </c>
    </row>
    <row r="20" spans="1:15" x14ac:dyDescent="0.25">
      <c r="A20" s="48" t="s">
        <v>59</v>
      </c>
      <c r="B20" s="72">
        <v>0.05</v>
      </c>
      <c r="C20" s="72"/>
      <c r="D20" s="72">
        <v>0.1</v>
      </c>
      <c r="E20" s="72"/>
      <c r="F20" s="72"/>
      <c r="G20" s="72"/>
      <c r="H20" s="72"/>
      <c r="I20" s="72"/>
      <c r="J20" s="72"/>
      <c r="K20" s="72"/>
      <c r="L20" s="72"/>
      <c r="M20" s="72"/>
      <c r="N20" s="72">
        <f>N11/N9</f>
        <v>4.3478260869565216E-2</v>
      </c>
      <c r="O20" s="72">
        <f>O11/O9</f>
        <v>0.14529914529914531</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5.9685425685425688</v>
      </c>
      <c r="C24" s="66">
        <f t="shared" si="1"/>
        <v>1.8801261829652995</v>
      </c>
      <c r="D24" s="66">
        <f t="shared" si="1"/>
        <v>182.82738095238096</v>
      </c>
      <c r="E24" s="66">
        <f t="shared" si="1"/>
        <v>218.89412773253321</v>
      </c>
      <c r="F24" s="66">
        <f t="shared" si="1"/>
        <v>57.24388753056234</v>
      </c>
      <c r="G24" s="66">
        <f t="shared" si="1"/>
        <v>19.382164367592772</v>
      </c>
      <c r="H24" s="66">
        <f t="shared" si="1"/>
        <v>44.367850692354004</v>
      </c>
      <c r="I24" s="66">
        <f t="shared" si="1"/>
        <v>20.227642276422763</v>
      </c>
      <c r="J24" s="66">
        <f t="shared" si="1"/>
        <v>58.640956136027597</v>
      </c>
      <c r="K24" s="66">
        <f t="shared" si="1"/>
        <v>83.98417674279743</v>
      </c>
      <c r="L24" s="66">
        <f t="shared" si="1"/>
        <v>31.210428305400374</v>
      </c>
      <c r="M24" s="66">
        <f t="shared" si="1"/>
        <v>19.052340798012718</v>
      </c>
      <c r="N24" s="66">
        <f>N9/$N$6*100000</f>
        <v>30.61433447098976</v>
      </c>
      <c r="O24" s="66">
        <f>O9/$O$6*100000</f>
        <v>21.168252325567721</v>
      </c>
    </row>
    <row r="25" spans="1:15" x14ac:dyDescent="0.25">
      <c r="A25" s="48" t="s">
        <v>34</v>
      </c>
      <c r="B25" s="65"/>
      <c r="C25" s="65"/>
      <c r="D25" s="65"/>
      <c r="E25" s="65"/>
      <c r="F25" s="65"/>
      <c r="G25" s="65"/>
      <c r="H25" s="65"/>
      <c r="I25" s="65"/>
      <c r="J25" s="65"/>
      <c r="K25" s="65"/>
      <c r="L25" s="65"/>
      <c r="M25" s="65"/>
      <c r="N25" s="66">
        <f>N10/$N$6*100000</f>
        <v>4.2662116040955631</v>
      </c>
      <c r="O25" s="66">
        <f>O10/$O$6*100000</f>
        <v>7.0560841085225734</v>
      </c>
    </row>
    <row r="26" spans="1:15" x14ac:dyDescent="0.25">
      <c r="A26" s="48" t="s">
        <v>35</v>
      </c>
      <c r="B26" s="66">
        <f>B12/B6*100000</f>
        <v>0.24004329004329006</v>
      </c>
      <c r="C26" s="66">
        <f t="shared" ref="C26:O26" si="2">C12/C6*100000</f>
        <v>4.4952681388012616E-2</v>
      </c>
      <c r="D26" s="66">
        <f t="shared" si="2"/>
        <v>21.754298941798943</v>
      </c>
      <c r="E26" s="66">
        <f t="shared" si="2"/>
        <v>19.402057436776683</v>
      </c>
      <c r="F26" s="66">
        <f t="shared" si="2"/>
        <v>1.1754278728606358</v>
      </c>
      <c r="G26" s="66">
        <f t="shared" si="2"/>
        <v>0.32834660967553914</v>
      </c>
      <c r="H26" s="66">
        <f t="shared" si="2"/>
        <v>3.8109572546658641</v>
      </c>
      <c r="I26" s="66">
        <f t="shared" si="2"/>
        <v>8.5365853658536592E-2</v>
      </c>
      <c r="J26" s="66">
        <f t="shared" si="2"/>
        <v>3.7407589945786102</v>
      </c>
      <c r="K26" s="66">
        <f t="shared" si="2"/>
        <v>5.9994028959546206</v>
      </c>
      <c r="L26" s="66">
        <f t="shared" si="2"/>
        <v>0.40436286246342112</v>
      </c>
      <c r="M26" s="66">
        <f t="shared" si="2"/>
        <v>0.36153743726984394</v>
      </c>
      <c r="N26" s="66">
        <f t="shared" si="2"/>
        <v>0.37542662116040953</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2243.5751515151514</v>
      </c>
      <c r="C32" s="7">
        <f t="shared" si="3"/>
        <v>706.73943217665612</v>
      </c>
      <c r="D32" s="7">
        <f t="shared" si="3"/>
        <v>68724.8125</v>
      </c>
      <c r="E32" s="7">
        <f t="shared" si="3"/>
        <v>82282.302614659231</v>
      </c>
      <c r="F32" s="7">
        <f t="shared" si="3"/>
        <v>21517.977322738385</v>
      </c>
      <c r="G32" s="7">
        <f t="shared" si="3"/>
        <v>7285.7555857781235</v>
      </c>
      <c r="H32" s="7">
        <f t="shared" si="3"/>
        <v>16677.87507525587</v>
      </c>
      <c r="I32" s="7">
        <f t="shared" si="3"/>
        <v>7603.5707317073166</v>
      </c>
      <c r="J32" s="7">
        <f t="shared" si="3"/>
        <v>22043.135411532774</v>
      </c>
      <c r="K32" s="7">
        <f t="shared" si="3"/>
        <v>31569.652037617554</v>
      </c>
      <c r="L32" s="7">
        <f t="shared" si="3"/>
        <v>11732</v>
      </c>
      <c r="M32" s="7">
        <f t="shared" si="3"/>
        <v>7161.7749059729804</v>
      </c>
      <c r="N32" s="7">
        <f t="shared" si="3"/>
        <v>11507.928327645051</v>
      </c>
      <c r="O32" s="7">
        <f t="shared" si="3"/>
        <v>7957.1460491809057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90.232272727272729</v>
      </c>
      <c r="C34" s="7">
        <f t="shared" si="4"/>
        <v>16.897712933753944</v>
      </c>
      <c r="D34" s="7">
        <f t="shared" si="4"/>
        <v>8177.4409722222235</v>
      </c>
      <c r="E34" s="7">
        <f t="shared" si="4"/>
        <v>7293.2333904843554</v>
      </c>
      <c r="F34" s="7">
        <f t="shared" si="4"/>
        <v>441.843337408313</v>
      </c>
      <c r="G34" s="7">
        <f t="shared" si="4"/>
        <v>123.42549057703515</v>
      </c>
      <c r="H34" s="7">
        <f t="shared" si="4"/>
        <v>1432.5388320288982</v>
      </c>
      <c r="I34" s="7">
        <f t="shared" si="4"/>
        <v>32.089024390243907</v>
      </c>
      <c r="J34" s="7">
        <f t="shared" si="4"/>
        <v>1406.1513060620996</v>
      </c>
      <c r="K34" s="7">
        <f t="shared" si="4"/>
        <v>2255.1755485893418</v>
      </c>
      <c r="L34" s="7">
        <f t="shared" si="4"/>
        <v>152</v>
      </c>
      <c r="M34" s="7">
        <f t="shared" si="4"/>
        <v>135.90192266973435</v>
      </c>
      <c r="N34" s="7">
        <f t="shared" si="4"/>
        <v>141.12286689419795</v>
      </c>
      <c r="O34" s="7">
        <f t="shared" si="4"/>
        <v>0</v>
      </c>
    </row>
    <row r="35" spans="1:15" hidden="1" x14ac:dyDescent="0.25"/>
    <row r="36" spans="1:15" hidden="1" x14ac:dyDescent="0.25">
      <c r="A36" t="s">
        <v>48</v>
      </c>
      <c r="B36" t="s">
        <v>75</v>
      </c>
    </row>
    <row r="37" spans="1:15" hidden="1" x14ac:dyDescent="0.25">
      <c r="A37" t="s">
        <v>50</v>
      </c>
      <c r="B37" s="7">
        <f>MIN($B$32:$M$32)</f>
        <v>706.73943217665612</v>
      </c>
      <c r="C37" s="7"/>
    </row>
    <row r="38" spans="1:15" hidden="1" x14ac:dyDescent="0.25">
      <c r="A38" t="s">
        <v>51</v>
      </c>
      <c r="B38" s="7">
        <f>MAX(B32:M32)</f>
        <v>82282.302614659231</v>
      </c>
      <c r="C38">
        <f>B38*1.6%</f>
        <v>1316.5168418345477</v>
      </c>
      <c r="D38" t="s">
        <v>78</v>
      </c>
    </row>
    <row r="39" spans="1:15" hidden="1" x14ac:dyDescent="0.25"/>
    <row r="40" spans="1:15" hidden="1" x14ac:dyDescent="0.25">
      <c r="A40" t="s">
        <v>49</v>
      </c>
    </row>
    <row r="41" spans="1:15" hidden="1" x14ac:dyDescent="0.25">
      <c r="A41" t="s">
        <v>50</v>
      </c>
      <c r="B41" s="7">
        <f>MIN(B34:M34)</f>
        <v>16.897712933753944</v>
      </c>
    </row>
    <row r="42" spans="1:15" hidden="1" x14ac:dyDescent="0.25">
      <c r="A42" t="s">
        <v>51</v>
      </c>
      <c r="B42" s="7">
        <f>MAX($B$34:$M$34)</f>
        <v>8177.4409722222235</v>
      </c>
      <c r="C42">
        <f>B42*1.6%</f>
        <v>130.83905555555557</v>
      </c>
      <c r="D42" t="s">
        <v>78</v>
      </c>
    </row>
    <row r="43" spans="1:15" hidden="1" x14ac:dyDescent="0.25">
      <c r="B43" s="7"/>
    </row>
    <row r="44" spans="1:15" hidden="1" x14ac:dyDescent="0.25">
      <c r="A44" t="s">
        <v>63</v>
      </c>
      <c r="B44" s="7" t="s">
        <v>65</v>
      </c>
      <c r="C44" t="s">
        <v>66</v>
      </c>
    </row>
    <row r="45" spans="1:15" hidden="1" x14ac:dyDescent="0.25">
      <c r="A45" t="s">
        <v>50</v>
      </c>
      <c r="B45" s="7">
        <f>B19*L9</f>
        <v>1759.8</v>
      </c>
      <c r="C45" s="7">
        <f>B37*B19</f>
        <v>106.01091482649842</v>
      </c>
    </row>
    <row r="46" spans="1:15" hidden="1" x14ac:dyDescent="0.25">
      <c r="A46" t="s">
        <v>51</v>
      </c>
      <c r="B46" s="7">
        <f>L9*D19</f>
        <v>6569.920000000001</v>
      </c>
      <c r="C46" s="7">
        <f>B38*D19</f>
        <v>46078.089464209173</v>
      </c>
      <c r="D46">
        <f>C46*1.6%</f>
        <v>737.24943142734674</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1173.2</v>
      </c>
      <c r="C50" s="7">
        <f>B38*D20</f>
        <v>8228.2302614659238</v>
      </c>
      <c r="D50">
        <f>C50*1.6%</f>
        <v>131.65168418345479</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874.96542134487731</v>
      </c>
      <c r="C55" s="7">
        <f t="shared" si="5"/>
        <v>275.61927873817035</v>
      </c>
      <c r="D55" s="7">
        <f t="shared" si="5"/>
        <v>26801.791990476195</v>
      </c>
      <c r="E55" s="7">
        <f t="shared" si="5"/>
        <v>32089.038572138877</v>
      </c>
      <c r="F55" s="7">
        <f t="shared" si="5"/>
        <v>8391.7340954523224</v>
      </c>
      <c r="G55" s="7">
        <f t="shared" si="5"/>
        <v>2841.350868777929</v>
      </c>
      <c r="H55" s="7">
        <f t="shared" si="5"/>
        <v>6504.1565389524385</v>
      </c>
      <c r="I55" s="7">
        <f t="shared" si="5"/>
        <v>2965.2946835772354</v>
      </c>
      <c r="J55" s="7">
        <f t="shared" si="5"/>
        <v>8596.5389882700838</v>
      </c>
      <c r="K55" s="7">
        <f t="shared" si="5"/>
        <v>12311.757811255413</v>
      </c>
      <c r="L55" s="7">
        <f t="shared" si="5"/>
        <v>4575.3289415270019</v>
      </c>
      <c r="M55" s="7">
        <f t="shared" si="5"/>
        <v>2793</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35.189424554112556</v>
      </c>
      <c r="C57" s="7">
        <f t="shared" si="6"/>
        <v>6.5898904731861201</v>
      </c>
      <c r="D57" s="7">
        <f t="shared" si="6"/>
        <v>3189.0966883597885</v>
      </c>
      <c r="E57" s="7">
        <f t="shared" si="6"/>
        <v>2844.2671163309042</v>
      </c>
      <c r="F57" s="7">
        <f t="shared" si="6"/>
        <v>172.31321251833739</v>
      </c>
      <c r="G57" s="7">
        <f t="shared" si="6"/>
        <v>48.134352127452885</v>
      </c>
      <c r="H57" s="7">
        <f t="shared" si="6"/>
        <v>558.67169945815783</v>
      </c>
      <c r="I57" s="7">
        <f t="shared" si="6"/>
        <v>12.514306341463415</v>
      </c>
      <c r="J57" s="7">
        <f t="shared" si="6"/>
        <v>548.38090409068514</v>
      </c>
      <c r="K57" s="7">
        <f t="shared" si="6"/>
        <v>879.48942683982682</v>
      </c>
      <c r="L57" s="7">
        <f t="shared" si="6"/>
        <v>59.278042883745677</v>
      </c>
      <c r="M57" s="7">
        <f t="shared" si="6"/>
        <v>53.000000000000007</v>
      </c>
      <c r="N57" s="7"/>
    </row>
    <row r="58" spans="1:14" hidden="1" x14ac:dyDescent="0.25"/>
    <row r="59" spans="1:14" hidden="1" x14ac:dyDescent="0.25">
      <c r="A59" t="s">
        <v>48</v>
      </c>
    </row>
    <row r="60" spans="1:14" hidden="1" x14ac:dyDescent="0.25">
      <c r="A60" t="s">
        <v>50</v>
      </c>
      <c r="B60" s="7">
        <f>MIN($B$55:$M$55)</f>
        <v>275.61927873817035</v>
      </c>
    </row>
    <row r="61" spans="1:14" hidden="1" x14ac:dyDescent="0.25">
      <c r="A61" t="s">
        <v>51</v>
      </c>
      <c r="B61" s="7">
        <f>MAX($B$55:$M$55)</f>
        <v>32089.038572138877</v>
      </c>
    </row>
    <row r="62" spans="1:14" hidden="1" x14ac:dyDescent="0.25"/>
    <row r="63" spans="1:14" hidden="1" x14ac:dyDescent="0.25">
      <c r="A63" t="s">
        <v>49</v>
      </c>
    </row>
    <row r="64" spans="1:14" hidden="1" x14ac:dyDescent="0.25">
      <c r="A64" t="s">
        <v>50</v>
      </c>
      <c r="B64" s="7">
        <f>MIN($B$57:$M$57)</f>
        <v>6.5898904731861201</v>
      </c>
    </row>
    <row r="65" spans="1:14" hidden="1" x14ac:dyDescent="0.25">
      <c r="A65" t="s">
        <v>51</v>
      </c>
      <c r="B65" s="7">
        <f>MAX($B$57:$M$57)</f>
        <v>3189.0966883597885</v>
      </c>
    </row>
    <row r="66" spans="1:14" hidden="1" x14ac:dyDescent="0.25">
      <c r="B66" s="7"/>
    </row>
    <row r="67" spans="1:14" hidden="1" x14ac:dyDescent="0.25">
      <c r="A67" t="s">
        <v>63</v>
      </c>
      <c r="B67" s="7" t="s">
        <v>77</v>
      </c>
      <c r="C67" t="s">
        <v>76</v>
      </c>
    </row>
    <row r="68" spans="1:14" hidden="1" x14ac:dyDescent="0.25">
      <c r="A68" t="s">
        <v>50</v>
      </c>
      <c r="B68" s="7">
        <f>B19*M9</f>
        <v>418.95</v>
      </c>
    </row>
    <row r="69" spans="1:14" hidden="1" x14ac:dyDescent="0.25">
      <c r="A69" t="s">
        <v>51</v>
      </c>
      <c r="B69" s="7">
        <f>D19*M9</f>
        <v>1564.0800000000002</v>
      </c>
      <c r="C69" s="7">
        <f>B61*D19</f>
        <v>17969.861600397773</v>
      </c>
    </row>
    <row r="70" spans="1:14" hidden="1" x14ac:dyDescent="0.25">
      <c r="B70" s="7"/>
    </row>
    <row r="71" spans="1:14" hidden="1" x14ac:dyDescent="0.25">
      <c r="A71" t="s">
        <v>64</v>
      </c>
      <c r="B71" s="7" t="s">
        <v>77</v>
      </c>
      <c r="C71" t="s">
        <v>76</v>
      </c>
    </row>
    <row r="72" spans="1:14" hidden="1" x14ac:dyDescent="0.25">
      <c r="A72" t="s">
        <v>50</v>
      </c>
      <c r="B72" s="7">
        <f>B20*M9</f>
        <v>139.65</v>
      </c>
    </row>
    <row r="73" spans="1:14" hidden="1" x14ac:dyDescent="0.25">
      <c r="A73" t="s">
        <v>51</v>
      </c>
      <c r="B73">
        <f>D20*M9</f>
        <v>279.3</v>
      </c>
      <c r="C73" s="7">
        <f>B61*D20</f>
        <v>3208.9038572138879</v>
      </c>
    </row>
    <row r="75" spans="1:14" x14ac:dyDescent="0.25">
      <c r="A75" s="10" t="s">
        <v>52</v>
      </c>
    </row>
    <row r="77" spans="1:14" x14ac:dyDescent="0.25">
      <c r="A77" s="48" t="s">
        <v>48</v>
      </c>
      <c r="B77" s="43">
        <f t="shared" ref="B77:M77" si="7">B24*$O$6/100000</f>
        <v>32.989000215007216</v>
      </c>
      <c r="C77" s="43">
        <f t="shared" si="7"/>
        <v>10.391730031545741</v>
      </c>
      <c r="D77" s="43">
        <f t="shared" si="7"/>
        <v>1010.5134444940476</v>
      </c>
      <c r="E77" s="43">
        <f t="shared" si="7"/>
        <v>1209.8595836262323</v>
      </c>
      <c r="F77" s="43">
        <f t="shared" si="7"/>
        <v>316.39526674510995</v>
      </c>
      <c r="G77" s="43">
        <f t="shared" si="7"/>
        <v>107.12803287351853</v>
      </c>
      <c r="H77" s="43">
        <f t="shared" si="7"/>
        <v>245.22754411499099</v>
      </c>
      <c r="I77" s="43">
        <f t="shared" si="7"/>
        <v>111.80111186991869</v>
      </c>
      <c r="J77" s="43">
        <f t="shared" si="7"/>
        <v>324.11706750246424</v>
      </c>
      <c r="K77" s="43">
        <f t="shared" si="7"/>
        <v>464.19272256306908</v>
      </c>
      <c r="L77" s="43">
        <f t="shared" si="7"/>
        <v>172.50456275605217</v>
      </c>
      <c r="M77" s="43">
        <f t="shared" si="7"/>
        <v>105.30505018003201</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1.3267540703463205</v>
      </c>
      <c r="C79" s="43">
        <f t="shared" si="8"/>
        <v>0.24845998817034698</v>
      </c>
      <c r="D79" s="43">
        <f t="shared" si="8"/>
        <v>120.23916462466933</v>
      </c>
      <c r="E79" s="43">
        <f t="shared" si="8"/>
        <v>107.23798475139307</v>
      </c>
      <c r="F79" s="43">
        <f t="shared" si="8"/>
        <v>6.4967602903422996</v>
      </c>
      <c r="G79" s="43">
        <f t="shared" si="8"/>
        <v>1.8148193219351079</v>
      </c>
      <c r="H79" s="43">
        <f t="shared" si="8"/>
        <v>21.063713335340157</v>
      </c>
      <c r="I79" s="43">
        <f t="shared" si="8"/>
        <v>0.47182945121951225</v>
      </c>
      <c r="J79" s="43">
        <f t="shared" si="8"/>
        <v>20.675717373090194</v>
      </c>
      <c r="K79" s="43">
        <f t="shared" si="8"/>
        <v>33.159569719361102</v>
      </c>
      <c r="L79" s="43">
        <f t="shared" si="8"/>
        <v>2.2349721734503856</v>
      </c>
      <c r="M79" s="43">
        <f t="shared" si="8"/>
        <v>1.9982698387188316</v>
      </c>
      <c r="N79" s="7"/>
    </row>
    <row r="81" spans="1:3" x14ac:dyDescent="0.25">
      <c r="A81" s="65" t="s">
        <v>48</v>
      </c>
      <c r="B81" s="65" t="s">
        <v>72</v>
      </c>
      <c r="C81" s="65" t="s">
        <v>73</v>
      </c>
    </row>
    <row r="82" spans="1:3" x14ac:dyDescent="0.25">
      <c r="A82" s="65" t="s">
        <v>50</v>
      </c>
      <c r="B82" s="66">
        <f>MIN($B$77:$M$77)</f>
        <v>10.391730031545741</v>
      </c>
      <c r="C82" s="66">
        <f>MIN($C$77:$M$77)</f>
        <v>10.391730031545741</v>
      </c>
    </row>
    <row r="83" spans="1:3" x14ac:dyDescent="0.25">
      <c r="A83" s="65" t="s">
        <v>51</v>
      </c>
      <c r="B83" s="66">
        <f>MAX($B$77:$M$77)</f>
        <v>1209.8595836262323</v>
      </c>
      <c r="C83" s="66">
        <f>MAX($C$77:$M$77)</f>
        <v>1209.8595836262323</v>
      </c>
    </row>
    <row r="84" spans="1:3" x14ac:dyDescent="0.25">
      <c r="A84" s="65"/>
      <c r="B84" s="65"/>
      <c r="C84" s="65"/>
    </row>
    <row r="85" spans="1:3" x14ac:dyDescent="0.25">
      <c r="A85" s="65" t="s">
        <v>49</v>
      </c>
      <c r="B85" s="65"/>
      <c r="C85" s="65"/>
    </row>
    <row r="86" spans="1:3" x14ac:dyDescent="0.25">
      <c r="A86" s="65" t="s">
        <v>50</v>
      </c>
      <c r="B86" s="66">
        <f>MIN($B$79:$M$79)</f>
        <v>0.24845998817034698</v>
      </c>
      <c r="C86" s="66">
        <f>MIN($C$79:$M$79)</f>
        <v>0.24845998817034698</v>
      </c>
    </row>
    <row r="87" spans="1:3" x14ac:dyDescent="0.25">
      <c r="A87" s="65" t="s">
        <v>51</v>
      </c>
      <c r="B87" s="66">
        <f>MAX($B$79:$M$79)</f>
        <v>120.23916462466933</v>
      </c>
      <c r="C87" s="66">
        <f>MAX($C$79:$M$79)</f>
        <v>120.23916462466933</v>
      </c>
    </row>
    <row r="88" spans="1:3" x14ac:dyDescent="0.25">
      <c r="A88" s="65"/>
      <c r="B88" s="65"/>
      <c r="C88" s="65"/>
    </row>
    <row r="89" spans="1:3" x14ac:dyDescent="0.25">
      <c r="A89" s="65" t="s">
        <v>27</v>
      </c>
      <c r="B89" s="65"/>
      <c r="C89" s="65"/>
    </row>
    <row r="90" spans="1:3" x14ac:dyDescent="0.25">
      <c r="A90" s="65" t="s">
        <v>50</v>
      </c>
      <c r="B90" s="66">
        <f>B82*$D$19</f>
        <v>5.819368817665616</v>
      </c>
      <c r="C90" s="66">
        <f>C82*$D$19</f>
        <v>5.819368817665616</v>
      </c>
    </row>
    <row r="91" spans="1:3" x14ac:dyDescent="0.25">
      <c r="A91" s="65" t="s">
        <v>51</v>
      </c>
      <c r="B91" s="66">
        <f>B83*$D$19</f>
        <v>677.52136683069011</v>
      </c>
      <c r="C91" s="66">
        <f>C83*$D$19</f>
        <v>677.52136683069011</v>
      </c>
    </row>
    <row r="92" spans="1:3" x14ac:dyDescent="0.25">
      <c r="A92" s="65"/>
      <c r="B92" s="66"/>
      <c r="C92" s="65"/>
    </row>
    <row r="93" spans="1:3" x14ac:dyDescent="0.25">
      <c r="A93" s="65" t="s">
        <v>62</v>
      </c>
      <c r="B93" s="66"/>
      <c r="C93" s="65"/>
    </row>
    <row r="94" spans="1:3" x14ac:dyDescent="0.25">
      <c r="A94" s="65" t="s">
        <v>50</v>
      </c>
      <c r="B94" s="66">
        <f>B82*$D$20</f>
        <v>1.0391730031545741</v>
      </c>
      <c r="C94" s="66">
        <f>C82*$D$20</f>
        <v>1.0391730031545741</v>
      </c>
    </row>
    <row r="95" spans="1:3" x14ac:dyDescent="0.25">
      <c r="A95" s="65" t="s">
        <v>51</v>
      </c>
      <c r="B95" s="66">
        <f>B83*$D$20</f>
        <v>120.98595836262324</v>
      </c>
      <c r="C95" s="66">
        <f>C83*$D$20</f>
        <v>120.98595836262324</v>
      </c>
    </row>
  </sheetData>
  <hyperlinks>
    <hyperlink ref="D18" r:id="rId1" xr:uid="{60052EF7-0AC5-4790-9EB5-AC88B2478E7B}"/>
    <hyperlink ref="B18" r:id="rId2" xr:uid="{D642A02E-520C-4933-BABB-AE5DA876918C}"/>
    <hyperlink ref="B1" r:id="rId3" xr:uid="{A4E25B33-C74F-4091-92F2-1FAB6485EF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2D23-669B-4FF1-9684-99009CF90716}">
  <dimension ref="A1:P95"/>
  <sheetViews>
    <sheetView zoomScaleNormal="100" workbookViewId="0">
      <selection activeCell="B3" sqref="B3"/>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43922</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139</v>
      </c>
      <c r="C4" s="54">
        <v>79</v>
      </c>
      <c r="D4" s="54">
        <v>64</v>
      </c>
      <c r="E4" s="54">
        <v>64</v>
      </c>
      <c r="F4" s="54">
        <v>74</v>
      </c>
      <c r="G4" s="54">
        <v>74</v>
      </c>
      <c r="H4" s="54">
        <v>64</v>
      </c>
      <c r="I4" s="54">
        <v>70</v>
      </c>
      <c r="J4" s="54">
        <v>45</v>
      </c>
      <c r="K4" s="57">
        <v>45</v>
      </c>
      <c r="L4" s="62">
        <v>70</v>
      </c>
      <c r="M4" s="54">
        <v>70</v>
      </c>
      <c r="N4" s="54">
        <v>70</v>
      </c>
      <c r="O4" s="67">
        <v>30</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82802</v>
      </c>
      <c r="C9" s="54">
        <v>2617</v>
      </c>
      <c r="D9" s="54">
        <v>115242</v>
      </c>
      <c r="E9" s="54">
        <v>110238</v>
      </c>
      <c r="F9" s="54">
        <v>213600</v>
      </c>
      <c r="G9" s="54">
        <v>10062</v>
      </c>
      <c r="H9" s="54">
        <v>33722</v>
      </c>
      <c r="I9" s="54">
        <v>5224</v>
      </c>
      <c r="J9" s="54">
        <v>50468</v>
      </c>
      <c r="K9" s="57">
        <v>58327</v>
      </c>
      <c r="L9" s="62">
        <v>12938</v>
      </c>
      <c r="M9" s="54">
        <v>3630</v>
      </c>
      <c r="N9" s="54">
        <v>986</v>
      </c>
      <c r="O9" s="67">
        <v>117</v>
      </c>
      <c r="P9" s="1"/>
    </row>
    <row r="10" spans="1:16" x14ac:dyDescent="0.25">
      <c r="A10" s="48" t="s">
        <v>34</v>
      </c>
      <c r="B10" s="54"/>
      <c r="C10" s="54"/>
      <c r="D10" s="54"/>
      <c r="E10" s="54"/>
      <c r="F10" s="54"/>
      <c r="G10" s="54"/>
      <c r="H10" s="54"/>
      <c r="I10" s="54"/>
      <c r="J10" s="54"/>
      <c r="K10" s="57"/>
      <c r="L10" s="62"/>
      <c r="M10" s="54"/>
      <c r="N10" s="54">
        <f>89+46</f>
        <v>135</v>
      </c>
      <c r="O10" s="67">
        <v>39</v>
      </c>
    </row>
    <row r="11" spans="1:16" x14ac:dyDescent="0.25">
      <c r="A11" s="48" t="s">
        <v>123</v>
      </c>
      <c r="B11" s="54"/>
      <c r="C11" s="54"/>
      <c r="D11" s="54"/>
      <c r="E11" s="54"/>
      <c r="F11" s="54"/>
      <c r="G11" s="54"/>
      <c r="H11" s="54"/>
      <c r="I11" s="54"/>
      <c r="J11" s="54"/>
      <c r="K11" s="57"/>
      <c r="L11" s="62"/>
      <c r="M11" s="54"/>
      <c r="N11" s="54">
        <v>42</v>
      </c>
      <c r="O11" s="67">
        <v>17</v>
      </c>
    </row>
    <row r="12" spans="1:16" x14ac:dyDescent="0.25">
      <c r="A12" s="48" t="s">
        <v>35</v>
      </c>
      <c r="B12" s="54">
        <v>333</v>
      </c>
      <c r="C12" s="54">
        <v>65</v>
      </c>
      <c r="D12" s="54">
        <v>13917</v>
      </c>
      <c r="E12" s="54">
        <v>10003</v>
      </c>
      <c r="F12" s="54">
        <v>4793</v>
      </c>
      <c r="G12" s="54">
        <v>174</v>
      </c>
      <c r="H12" s="54">
        <v>2921</v>
      </c>
      <c r="I12" s="54">
        <v>23</v>
      </c>
      <c r="J12" s="54">
        <v>3160</v>
      </c>
      <c r="K12" s="57">
        <v>4490</v>
      </c>
      <c r="L12" s="62">
        <v>214</v>
      </c>
      <c r="M12" s="54">
        <v>94</v>
      </c>
      <c r="N12" s="54">
        <v>13</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4.0216419893239295E-3</v>
      </c>
      <c r="C16" s="71">
        <f t="shared" ref="C16:O16" si="0">C12/C9</f>
        <v>2.4837600305693541E-2</v>
      </c>
      <c r="D16" s="71">
        <f t="shared" si="0"/>
        <v>0.12076326339355443</v>
      </c>
      <c r="E16" s="71">
        <f t="shared" si="0"/>
        <v>9.0740035196574684E-2</v>
      </c>
      <c r="F16" s="71">
        <f t="shared" si="0"/>
        <v>2.2439138576779025E-2</v>
      </c>
      <c r="G16" s="71">
        <f t="shared" si="0"/>
        <v>1.7292784734645201E-2</v>
      </c>
      <c r="H16" s="71">
        <f t="shared" si="0"/>
        <v>8.6620010675523398E-2</v>
      </c>
      <c r="I16" s="71">
        <f t="shared" si="0"/>
        <v>4.4027565084226649E-3</v>
      </c>
      <c r="J16" s="71">
        <f t="shared" si="0"/>
        <v>6.2613933581675524E-2</v>
      </c>
      <c r="K16" s="71">
        <f t="shared" si="0"/>
        <v>7.6979786376806622E-2</v>
      </c>
      <c r="L16" s="71">
        <f t="shared" si="0"/>
        <v>1.6540423558509817E-2</v>
      </c>
      <c r="M16" s="71">
        <f t="shared" si="0"/>
        <v>2.5895316804407712E-2</v>
      </c>
      <c r="N16" s="71">
        <f t="shared" si="0"/>
        <v>1.3184584178498986E-2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0.13691683569979715</v>
      </c>
      <c r="O19" s="72">
        <f>O10/O9</f>
        <v>0.33333333333333331</v>
      </c>
    </row>
    <row r="20" spans="1:15" x14ac:dyDescent="0.25">
      <c r="A20" s="48" t="s">
        <v>59</v>
      </c>
      <c r="B20" s="72">
        <v>0.05</v>
      </c>
      <c r="C20" s="72"/>
      <c r="D20" s="72">
        <v>0.1</v>
      </c>
      <c r="E20" s="72"/>
      <c r="F20" s="72"/>
      <c r="G20" s="72"/>
      <c r="H20" s="72"/>
      <c r="I20" s="72"/>
      <c r="J20" s="72"/>
      <c r="K20" s="72"/>
      <c r="L20" s="72"/>
      <c r="M20" s="72"/>
      <c r="N20" s="72">
        <f>N11/N9</f>
        <v>4.2596348884381338E-2</v>
      </c>
      <c r="O20" s="72">
        <f>O11/O9</f>
        <v>0.14529914529914531</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5.974170274170274</v>
      </c>
      <c r="C24" s="66">
        <f t="shared" si="1"/>
        <v>2.0638801261829651</v>
      </c>
      <c r="D24" s="66">
        <f t="shared" si="1"/>
        <v>190.54563492063491</v>
      </c>
      <c r="E24" s="66">
        <f t="shared" si="1"/>
        <v>236.25803686240891</v>
      </c>
      <c r="F24" s="66">
        <f t="shared" si="1"/>
        <v>65.281173594132028</v>
      </c>
      <c r="G24" s="66">
        <f t="shared" si="1"/>
        <v>19.549251991451332</v>
      </c>
      <c r="H24" s="66">
        <f t="shared" si="1"/>
        <v>50.755568934376882</v>
      </c>
      <c r="I24" s="66">
        <f t="shared" si="1"/>
        <v>21.235772357723576</v>
      </c>
      <c r="J24" s="66">
        <f t="shared" si="1"/>
        <v>62.183341547560367</v>
      </c>
      <c r="K24" s="66">
        <f t="shared" si="1"/>
        <v>87.068219137184656</v>
      </c>
      <c r="L24" s="66">
        <f t="shared" si="1"/>
        <v>34.41872838520883</v>
      </c>
      <c r="M24" s="66">
        <f t="shared" si="1"/>
        <v>24.761903722444025</v>
      </c>
      <c r="N24" s="66">
        <f>N9/$N$6*100000</f>
        <v>33.651877133105799</v>
      </c>
      <c r="O24" s="66">
        <f>O9/$O$6*100000</f>
        <v>21.168252325567721</v>
      </c>
    </row>
    <row r="25" spans="1:15" x14ac:dyDescent="0.25">
      <c r="A25" s="48" t="s">
        <v>34</v>
      </c>
      <c r="B25" s="65"/>
      <c r="C25" s="65"/>
      <c r="D25" s="65"/>
      <c r="E25" s="65"/>
      <c r="F25" s="65"/>
      <c r="G25" s="65"/>
      <c r="H25" s="65"/>
      <c r="I25" s="65"/>
      <c r="J25" s="65"/>
      <c r="K25" s="65"/>
      <c r="L25" s="65"/>
      <c r="M25" s="65"/>
      <c r="N25" s="66">
        <f>N10/$N$6*100000</f>
        <v>4.6075085324232088</v>
      </c>
      <c r="O25" s="66">
        <f>O10/$O$6*100000</f>
        <v>7.0560841085225734</v>
      </c>
    </row>
    <row r="26" spans="1:15" x14ac:dyDescent="0.25">
      <c r="A26" s="48" t="s">
        <v>35</v>
      </c>
      <c r="B26" s="66">
        <f>B12/B6*100000</f>
        <v>2.4025974025974024E-2</v>
      </c>
      <c r="C26" s="66">
        <f t="shared" ref="C26:O26" si="2">C12/C6*100000</f>
        <v>5.1261829652996846E-2</v>
      </c>
      <c r="D26" s="66">
        <f t="shared" si="2"/>
        <v>23.010912698412699</v>
      </c>
      <c r="E26" s="66">
        <f t="shared" si="2"/>
        <v>21.438062580368623</v>
      </c>
      <c r="F26" s="66">
        <f t="shared" si="2"/>
        <v>1.4648533007334963</v>
      </c>
      <c r="G26" s="66">
        <f t="shared" si="2"/>
        <v>0.33806100641150183</v>
      </c>
      <c r="H26" s="66">
        <f t="shared" si="2"/>
        <v>4.3964479229379894</v>
      </c>
      <c r="I26" s="66">
        <f t="shared" si="2"/>
        <v>9.3495934959349589E-2</v>
      </c>
      <c r="J26" s="66">
        <f t="shared" si="2"/>
        <v>3.8935436175455886</v>
      </c>
      <c r="K26" s="66">
        <f t="shared" si="2"/>
        <v>6.702492909389461</v>
      </c>
      <c r="L26" s="66">
        <f t="shared" si="2"/>
        <v>0.56930034583665867</v>
      </c>
      <c r="M26" s="66">
        <f t="shared" si="2"/>
        <v>0.64121734157293075</v>
      </c>
      <c r="N26" s="66">
        <f t="shared" si="2"/>
        <v>0.44368600682593856</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2245.6906060606061</v>
      </c>
      <c r="C32" s="7">
        <f t="shared" si="3"/>
        <v>775.81253943217666</v>
      </c>
      <c r="D32" s="7">
        <f t="shared" si="3"/>
        <v>71626.104166666657</v>
      </c>
      <c r="E32" s="7">
        <f t="shared" si="3"/>
        <v>88809.396056579513</v>
      </c>
      <c r="F32" s="7">
        <f t="shared" si="3"/>
        <v>24539.193154034227</v>
      </c>
      <c r="G32" s="7">
        <f t="shared" si="3"/>
        <v>7348.5638235865554</v>
      </c>
      <c r="H32" s="7">
        <f t="shared" si="3"/>
        <v>19079.018362432271</v>
      </c>
      <c r="I32" s="7">
        <f t="shared" si="3"/>
        <v>7982.5268292682922</v>
      </c>
      <c r="J32" s="7">
        <f t="shared" si="3"/>
        <v>23374.718087727942</v>
      </c>
      <c r="K32" s="7">
        <f t="shared" si="3"/>
        <v>32728.943573667711</v>
      </c>
      <c r="L32" s="7">
        <f t="shared" si="3"/>
        <v>12938</v>
      </c>
      <c r="M32" s="7">
        <f t="shared" si="3"/>
        <v>9307.9996092667097</v>
      </c>
      <c r="N32" s="7">
        <f t="shared" si="3"/>
        <v>12649.740614334469</v>
      </c>
      <c r="O32" s="7">
        <f t="shared" si="3"/>
        <v>7957.1460491809057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9.0313636363636345</v>
      </c>
      <c r="C34" s="7">
        <f t="shared" si="4"/>
        <v>19.269321766561514</v>
      </c>
      <c r="D34" s="7">
        <f t="shared" si="4"/>
        <v>8649.8020833333339</v>
      </c>
      <c r="E34" s="7">
        <f t="shared" si="4"/>
        <v>8058.5677239605657</v>
      </c>
      <c r="F34" s="7">
        <f t="shared" si="4"/>
        <v>550.63835574572124</v>
      </c>
      <c r="G34" s="7">
        <f t="shared" si="4"/>
        <v>127.07713231008354</v>
      </c>
      <c r="H34" s="7">
        <f t="shared" si="4"/>
        <v>1652.6247742323903</v>
      </c>
      <c r="I34" s="7">
        <f t="shared" si="4"/>
        <v>35.145121951219508</v>
      </c>
      <c r="J34" s="7">
        <f t="shared" si="4"/>
        <v>1463.5830458353869</v>
      </c>
      <c r="K34" s="7">
        <f t="shared" si="4"/>
        <v>2519.4670846394984</v>
      </c>
      <c r="L34" s="7">
        <f t="shared" si="4"/>
        <v>214</v>
      </c>
      <c r="M34" s="7">
        <f t="shared" si="4"/>
        <v>241.03359869726467</v>
      </c>
      <c r="N34" s="7">
        <f t="shared" si="4"/>
        <v>166.78156996587032</v>
      </c>
      <c r="O34" s="7">
        <f t="shared" si="4"/>
        <v>0</v>
      </c>
    </row>
    <row r="35" spans="1:15" hidden="1" x14ac:dyDescent="0.25"/>
    <row r="36" spans="1:15" hidden="1" x14ac:dyDescent="0.25">
      <c r="A36" t="s">
        <v>48</v>
      </c>
      <c r="B36" t="s">
        <v>75</v>
      </c>
    </row>
    <row r="37" spans="1:15" hidden="1" x14ac:dyDescent="0.25">
      <c r="A37" t="s">
        <v>50</v>
      </c>
      <c r="B37" s="7">
        <f>MIN($B$32:$M$32)</f>
        <v>775.81253943217666</v>
      </c>
      <c r="C37" s="7"/>
    </row>
    <row r="38" spans="1:15" hidden="1" x14ac:dyDescent="0.25">
      <c r="A38" t="s">
        <v>51</v>
      </c>
      <c r="B38" s="7">
        <f>MAX(B32:M32)</f>
        <v>88809.396056579513</v>
      </c>
      <c r="C38">
        <f>B38*1.6%</f>
        <v>1420.9503369052723</v>
      </c>
      <c r="D38" t="s">
        <v>78</v>
      </c>
    </row>
    <row r="39" spans="1:15" hidden="1" x14ac:dyDescent="0.25"/>
    <row r="40" spans="1:15" hidden="1" x14ac:dyDescent="0.25">
      <c r="A40" t="s">
        <v>49</v>
      </c>
    </row>
    <row r="41" spans="1:15" hidden="1" x14ac:dyDescent="0.25">
      <c r="A41" t="s">
        <v>50</v>
      </c>
      <c r="B41" s="7">
        <f>MIN(B34:M34)</f>
        <v>9.0313636363636345</v>
      </c>
    </row>
    <row r="42" spans="1:15" hidden="1" x14ac:dyDescent="0.25">
      <c r="A42" t="s">
        <v>51</v>
      </c>
      <c r="B42" s="7">
        <f>MAX($B$34:$M$34)</f>
        <v>8649.8020833333339</v>
      </c>
      <c r="C42">
        <f>B42*1.6%</f>
        <v>138.39683333333335</v>
      </c>
      <c r="D42" t="s">
        <v>78</v>
      </c>
    </row>
    <row r="43" spans="1:15" hidden="1" x14ac:dyDescent="0.25">
      <c r="B43" s="7"/>
    </row>
    <row r="44" spans="1:15" hidden="1" x14ac:dyDescent="0.25">
      <c r="A44" t="s">
        <v>63</v>
      </c>
      <c r="B44" s="7" t="s">
        <v>65</v>
      </c>
      <c r="C44" t="s">
        <v>66</v>
      </c>
    </row>
    <row r="45" spans="1:15" hidden="1" x14ac:dyDescent="0.25">
      <c r="A45" t="s">
        <v>50</v>
      </c>
      <c r="B45" s="7">
        <f>B19*L9</f>
        <v>1940.6999999999998</v>
      </c>
      <c r="C45" s="7">
        <f>B37*B19</f>
        <v>116.37188091482649</v>
      </c>
    </row>
    <row r="46" spans="1:15" hidden="1" x14ac:dyDescent="0.25">
      <c r="A46" t="s">
        <v>51</v>
      </c>
      <c r="B46" s="7">
        <f>L9*D19</f>
        <v>7245.2800000000007</v>
      </c>
      <c r="C46" s="7">
        <f>B38*D19</f>
        <v>49733.261791684534</v>
      </c>
      <c r="D46">
        <f>C46*1.6%</f>
        <v>795.73218866695254</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1293.8000000000002</v>
      </c>
      <c r="C50" s="7">
        <f>B38*D20</f>
        <v>8880.9396056579517</v>
      </c>
      <c r="D50">
        <f>C50*1.6%</f>
        <v>142.09503369052723</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875.79042137950944</v>
      </c>
      <c r="C55" s="7">
        <f t="shared" si="5"/>
        <v>302.55690119873816</v>
      </c>
      <c r="D55" s="7">
        <f t="shared" si="5"/>
        <v>27933.258384126984</v>
      </c>
      <c r="E55" s="7">
        <f t="shared" si="5"/>
        <v>34634.520973167593</v>
      </c>
      <c r="F55" s="7">
        <f t="shared" si="5"/>
        <v>9569.9693691931534</v>
      </c>
      <c r="G55" s="7">
        <f t="shared" si="5"/>
        <v>2865.8452728191178</v>
      </c>
      <c r="H55" s="7">
        <f t="shared" si="5"/>
        <v>7440.5715043949422</v>
      </c>
      <c r="I55" s="7">
        <f t="shared" si="5"/>
        <v>3113.0826822764225</v>
      </c>
      <c r="J55" s="7">
        <f t="shared" si="5"/>
        <v>9115.8390868408078</v>
      </c>
      <c r="K55" s="7">
        <f t="shared" si="5"/>
        <v>12763.866583549783</v>
      </c>
      <c r="L55" s="7">
        <f t="shared" si="5"/>
        <v>5045.6534133546147</v>
      </c>
      <c r="M55" s="7">
        <f t="shared" si="5"/>
        <v>3630</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3.5221155324675322</v>
      </c>
      <c r="C57" s="7">
        <f t="shared" si="6"/>
        <v>7.5147873817034707</v>
      </c>
      <c r="D57" s="7">
        <f t="shared" si="6"/>
        <v>3373.3114396825399</v>
      </c>
      <c r="E57" s="7">
        <f t="shared" si="6"/>
        <v>3142.7376521217316</v>
      </c>
      <c r="F57" s="7">
        <f t="shared" si="6"/>
        <v>214.74186885085575</v>
      </c>
      <c r="G57" s="7">
        <f t="shared" si="6"/>
        <v>49.558445385661543</v>
      </c>
      <c r="H57" s="7">
        <f t="shared" si="6"/>
        <v>644.50238314268518</v>
      </c>
      <c r="I57" s="7">
        <f t="shared" si="6"/>
        <v>13.706145040650405</v>
      </c>
      <c r="J57" s="7">
        <f t="shared" si="6"/>
        <v>570.77854312469196</v>
      </c>
      <c r="K57" s="7">
        <f t="shared" si="6"/>
        <v>982.55972294372293</v>
      </c>
      <c r="L57" s="7">
        <f t="shared" si="6"/>
        <v>83.457244586326141</v>
      </c>
      <c r="M57" s="7">
        <f t="shared" si="6"/>
        <v>94</v>
      </c>
      <c r="N57" s="7"/>
    </row>
    <row r="58" spans="1:14" hidden="1" x14ac:dyDescent="0.25"/>
    <row r="59" spans="1:14" hidden="1" x14ac:dyDescent="0.25">
      <c r="A59" t="s">
        <v>48</v>
      </c>
    </row>
    <row r="60" spans="1:14" hidden="1" x14ac:dyDescent="0.25">
      <c r="A60" t="s">
        <v>50</v>
      </c>
      <c r="B60" s="7">
        <f>MIN($B$55:$M$55)</f>
        <v>302.55690119873816</v>
      </c>
    </row>
    <row r="61" spans="1:14" hidden="1" x14ac:dyDescent="0.25">
      <c r="A61" t="s">
        <v>51</v>
      </c>
      <c r="B61" s="7">
        <f>MAX($B$55:$M$55)</f>
        <v>34634.520973167593</v>
      </c>
    </row>
    <row r="62" spans="1:14" hidden="1" x14ac:dyDescent="0.25"/>
    <row r="63" spans="1:14" hidden="1" x14ac:dyDescent="0.25">
      <c r="A63" t="s">
        <v>49</v>
      </c>
    </row>
    <row r="64" spans="1:14" hidden="1" x14ac:dyDescent="0.25">
      <c r="A64" t="s">
        <v>50</v>
      </c>
      <c r="B64" s="7">
        <f>MIN($B$57:$M$57)</f>
        <v>3.5221155324675322</v>
      </c>
    </row>
    <row r="65" spans="1:14" hidden="1" x14ac:dyDescent="0.25">
      <c r="A65" t="s">
        <v>51</v>
      </c>
      <c r="B65" s="7">
        <f>MAX($B$57:$M$57)</f>
        <v>3373.3114396825399</v>
      </c>
    </row>
    <row r="66" spans="1:14" hidden="1" x14ac:dyDescent="0.25">
      <c r="B66" s="7"/>
    </row>
    <row r="67" spans="1:14" hidden="1" x14ac:dyDescent="0.25">
      <c r="A67" t="s">
        <v>63</v>
      </c>
      <c r="B67" s="7" t="s">
        <v>77</v>
      </c>
      <c r="C67" t="s">
        <v>76</v>
      </c>
    </row>
    <row r="68" spans="1:14" hidden="1" x14ac:dyDescent="0.25">
      <c r="A68" t="s">
        <v>50</v>
      </c>
      <c r="B68" s="7">
        <f>B19*M9</f>
        <v>544.5</v>
      </c>
    </row>
    <row r="69" spans="1:14" hidden="1" x14ac:dyDescent="0.25">
      <c r="A69" t="s">
        <v>51</v>
      </c>
      <c r="B69" s="7">
        <f>D19*M9</f>
        <v>2032.8000000000002</v>
      </c>
      <c r="C69" s="7">
        <f>B61*D19</f>
        <v>19395.331744973853</v>
      </c>
    </row>
    <row r="70" spans="1:14" hidden="1" x14ac:dyDescent="0.25">
      <c r="B70" s="7"/>
    </row>
    <row r="71" spans="1:14" hidden="1" x14ac:dyDescent="0.25">
      <c r="A71" t="s">
        <v>64</v>
      </c>
      <c r="B71" s="7" t="s">
        <v>77</v>
      </c>
      <c r="C71" t="s">
        <v>76</v>
      </c>
    </row>
    <row r="72" spans="1:14" hidden="1" x14ac:dyDescent="0.25">
      <c r="A72" t="s">
        <v>50</v>
      </c>
      <c r="B72" s="7">
        <f>B20*M9</f>
        <v>181.5</v>
      </c>
    </row>
    <row r="73" spans="1:14" hidden="1" x14ac:dyDescent="0.25">
      <c r="A73" t="s">
        <v>51</v>
      </c>
      <c r="B73">
        <f>D20*M9</f>
        <v>363</v>
      </c>
      <c r="C73" s="7">
        <f>B61*D20</f>
        <v>3463.4520973167596</v>
      </c>
    </row>
    <row r="75" spans="1:14" x14ac:dyDescent="0.25">
      <c r="A75" s="10" t="s">
        <v>52</v>
      </c>
    </row>
    <row r="77" spans="1:14" x14ac:dyDescent="0.25">
      <c r="A77" s="48" t="s">
        <v>48</v>
      </c>
      <c r="B77" s="43">
        <f t="shared" ref="B77:M77" si="7">B24*$O$6/100000</f>
        <v>33.020105360028857</v>
      </c>
      <c r="C77" s="43">
        <f t="shared" si="7"/>
        <v>11.407364720031545</v>
      </c>
      <c r="D77" s="43">
        <f t="shared" si="7"/>
        <v>1053.1733533234126</v>
      </c>
      <c r="E77" s="43">
        <f t="shared" si="7"/>
        <v>1305.8324271538791</v>
      </c>
      <c r="F77" s="43">
        <f t="shared" si="7"/>
        <v>360.81851222493884</v>
      </c>
      <c r="G77" s="43">
        <f t="shared" si="7"/>
        <v>108.05155039829027</v>
      </c>
      <c r="H77" s="43">
        <f t="shared" si="7"/>
        <v>280.53338905779651</v>
      </c>
      <c r="I77" s="43">
        <f t="shared" si="7"/>
        <v>117.37319300813009</v>
      </c>
      <c r="J77" s="43">
        <f t="shared" si="7"/>
        <v>343.69634531789058</v>
      </c>
      <c r="K77" s="43">
        <f t="shared" si="7"/>
        <v>481.23867206299445</v>
      </c>
      <c r="L77" s="43">
        <f t="shared" si="7"/>
        <v>190.23730250066507</v>
      </c>
      <c r="M77" s="43">
        <f t="shared" si="7"/>
        <v>136.86263234998788</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0.1327950422077922</v>
      </c>
      <c r="C79" s="43">
        <f t="shared" si="8"/>
        <v>0.28333156545741323</v>
      </c>
      <c r="D79" s="43">
        <f t="shared" si="8"/>
        <v>127.18465106646826</v>
      </c>
      <c r="E79" s="43">
        <f t="shared" si="8"/>
        <v>118.49128040077153</v>
      </c>
      <c r="F79" s="43">
        <f t="shared" si="8"/>
        <v>8.096456596882641</v>
      </c>
      <c r="G79" s="43">
        <f t="shared" si="8"/>
        <v>1.8685122012823003</v>
      </c>
      <c r="H79" s="43">
        <f t="shared" si="8"/>
        <v>24.299805155027094</v>
      </c>
      <c r="I79" s="43">
        <f t="shared" si="8"/>
        <v>0.51676558943089423</v>
      </c>
      <c r="J79" s="43">
        <f t="shared" si="8"/>
        <v>21.520180137999013</v>
      </c>
      <c r="K79" s="43">
        <f t="shared" si="8"/>
        <v>37.045650171667411</v>
      </c>
      <c r="L79" s="43">
        <f t="shared" si="8"/>
        <v>3.146605559989359</v>
      </c>
      <c r="M79" s="43">
        <f t="shared" si="8"/>
        <v>3.5441012233881164</v>
      </c>
      <c r="N79" s="7"/>
    </row>
    <row r="81" spans="1:3" x14ac:dyDescent="0.25">
      <c r="A81" s="65" t="s">
        <v>48</v>
      </c>
      <c r="B81" s="65" t="s">
        <v>72</v>
      </c>
      <c r="C81" s="65" t="s">
        <v>73</v>
      </c>
    </row>
    <row r="82" spans="1:3" x14ac:dyDescent="0.25">
      <c r="A82" s="65" t="s">
        <v>50</v>
      </c>
      <c r="B82" s="66">
        <f>MIN($B$77:$M$77)</f>
        <v>11.407364720031545</v>
      </c>
      <c r="C82" s="66">
        <f>MIN($C$77:$M$77)</f>
        <v>11.407364720031545</v>
      </c>
    </row>
    <row r="83" spans="1:3" x14ac:dyDescent="0.25">
      <c r="A83" s="65" t="s">
        <v>51</v>
      </c>
      <c r="B83" s="66">
        <f>MAX($B$77:$M$77)</f>
        <v>1305.8324271538791</v>
      </c>
      <c r="C83" s="66">
        <f>MAX($C$77:$M$77)</f>
        <v>1305.8324271538791</v>
      </c>
    </row>
    <row r="84" spans="1:3" x14ac:dyDescent="0.25">
      <c r="A84" s="65"/>
      <c r="B84" s="65"/>
      <c r="C84" s="65"/>
    </row>
    <row r="85" spans="1:3" x14ac:dyDescent="0.25">
      <c r="A85" s="65" t="s">
        <v>49</v>
      </c>
      <c r="B85" s="65"/>
      <c r="C85" s="65"/>
    </row>
    <row r="86" spans="1:3" x14ac:dyDescent="0.25">
      <c r="A86" s="65" t="s">
        <v>50</v>
      </c>
      <c r="B86" s="66">
        <f>MIN($B$79:$M$79)</f>
        <v>0.1327950422077922</v>
      </c>
      <c r="C86" s="66">
        <f>MIN($C$79:$M$79)</f>
        <v>0.28333156545741323</v>
      </c>
    </row>
    <row r="87" spans="1:3" x14ac:dyDescent="0.25">
      <c r="A87" s="65" t="s">
        <v>51</v>
      </c>
      <c r="B87" s="66">
        <f>MAX($B$79:$M$79)</f>
        <v>127.18465106646826</v>
      </c>
      <c r="C87" s="66">
        <f>MAX($C$79:$M$79)</f>
        <v>127.18465106646826</v>
      </c>
    </row>
    <row r="88" spans="1:3" x14ac:dyDescent="0.25">
      <c r="A88" s="65"/>
      <c r="B88" s="65"/>
      <c r="C88" s="65"/>
    </row>
    <row r="89" spans="1:3" x14ac:dyDescent="0.25">
      <c r="A89" s="65" t="s">
        <v>27</v>
      </c>
      <c r="B89" s="65"/>
      <c r="C89" s="65"/>
    </row>
    <row r="90" spans="1:3" x14ac:dyDescent="0.25">
      <c r="A90" s="65" t="s">
        <v>50</v>
      </c>
      <c r="B90" s="66">
        <f>B82*$D$19</f>
        <v>6.3881242432176659</v>
      </c>
      <c r="C90" s="66">
        <f>C82*$D$19</f>
        <v>6.3881242432176659</v>
      </c>
    </row>
    <row r="91" spans="1:3" x14ac:dyDescent="0.25">
      <c r="A91" s="65" t="s">
        <v>51</v>
      </c>
      <c r="B91" s="66">
        <f>B83*$D$19</f>
        <v>731.26615920617235</v>
      </c>
      <c r="C91" s="66">
        <f>C83*$D$19</f>
        <v>731.26615920617235</v>
      </c>
    </row>
    <row r="92" spans="1:3" x14ac:dyDescent="0.25">
      <c r="A92" s="65"/>
      <c r="B92" s="66"/>
      <c r="C92" s="65"/>
    </row>
    <row r="93" spans="1:3" x14ac:dyDescent="0.25">
      <c r="A93" s="65" t="s">
        <v>62</v>
      </c>
      <c r="B93" s="66"/>
      <c r="C93" s="65"/>
    </row>
    <row r="94" spans="1:3" x14ac:dyDescent="0.25">
      <c r="A94" s="65" t="s">
        <v>50</v>
      </c>
      <c r="B94" s="66">
        <f>B82*$D$20</f>
        <v>1.1407364720031545</v>
      </c>
      <c r="C94" s="66">
        <f>C82*$D$20</f>
        <v>1.1407364720031545</v>
      </c>
    </row>
    <row r="95" spans="1:3" x14ac:dyDescent="0.25">
      <c r="A95" s="65" t="s">
        <v>51</v>
      </c>
      <c r="B95" s="66">
        <f>B83*$D$20</f>
        <v>130.58324271538791</v>
      </c>
      <c r="C95" s="66">
        <f>C83*$D$20</f>
        <v>130.58324271538791</v>
      </c>
    </row>
  </sheetData>
  <hyperlinks>
    <hyperlink ref="D18" r:id="rId1" xr:uid="{8E6266FC-C5E9-4CEF-B020-05491839856C}"/>
    <hyperlink ref="B18" r:id="rId2" xr:uid="{6F82176A-BE75-4AAA-A0D5-7490F039912C}"/>
    <hyperlink ref="B1" r:id="rId3" xr:uid="{4B777EF9-B93F-46B5-A121-51FAD71694B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3267-3EC4-424E-8765-4F54A0020D97}">
  <dimension ref="A1:P95"/>
  <sheetViews>
    <sheetView topLeftCell="K1" zoomScaleNormal="100" workbookViewId="0">
      <selection activeCell="L27" sqref="L27"/>
    </sheetView>
  </sheetViews>
  <sheetFormatPr defaultRowHeight="15" x14ac:dyDescent="0.25"/>
  <cols>
    <col min="1" max="1" width="25.7109375" customWidth="1"/>
    <col min="2" max="2" width="16.42578125" bestFit="1" customWidth="1"/>
    <col min="3" max="3" width="15.5703125" customWidth="1"/>
    <col min="4" max="5" width="13.5703125" bestFit="1" customWidth="1"/>
    <col min="6" max="6" width="14.7109375" bestFit="1" customWidth="1"/>
    <col min="7" max="9" width="13.5703125" bestFit="1" customWidth="1"/>
    <col min="10" max="10" width="15" customWidth="1"/>
    <col min="11" max="11" width="13.5703125" customWidth="1"/>
    <col min="12" max="13" width="13.5703125" bestFit="1" customWidth="1"/>
    <col min="14" max="14" width="12.140625" customWidth="1"/>
    <col min="15" max="15" width="16.140625" bestFit="1" customWidth="1"/>
  </cols>
  <sheetData>
    <row r="1" spans="1:16" x14ac:dyDescent="0.25">
      <c r="A1" s="45">
        <v>43922</v>
      </c>
      <c r="B1" s="11" t="s">
        <v>89</v>
      </c>
    </row>
    <row r="2" spans="1:16" x14ac:dyDescent="0.25">
      <c r="A2" s="48"/>
      <c r="B2" s="48" t="s">
        <v>56</v>
      </c>
      <c r="C2" s="48" t="s">
        <v>43</v>
      </c>
      <c r="D2" s="48" t="s">
        <v>28</v>
      </c>
      <c r="E2" s="48" t="s">
        <v>44</v>
      </c>
      <c r="F2" s="48" t="s">
        <v>29</v>
      </c>
      <c r="G2" s="48" t="s">
        <v>39</v>
      </c>
      <c r="H2" s="48" t="s">
        <v>30</v>
      </c>
      <c r="I2" s="48" t="s">
        <v>40</v>
      </c>
      <c r="J2" s="48" t="s">
        <v>79</v>
      </c>
      <c r="K2" s="55" t="s">
        <v>109</v>
      </c>
      <c r="L2" s="60" t="s">
        <v>45</v>
      </c>
      <c r="M2" s="48" t="s">
        <v>17</v>
      </c>
      <c r="N2" s="48" t="s">
        <v>95</v>
      </c>
      <c r="O2" s="67" t="s">
        <v>16</v>
      </c>
    </row>
    <row r="3" spans="1:16" x14ac:dyDescent="0.25">
      <c r="A3" s="48" t="s">
        <v>71</v>
      </c>
      <c r="B3" s="53">
        <v>43786</v>
      </c>
      <c r="C3" s="53">
        <v>43481</v>
      </c>
      <c r="D3" s="53">
        <v>43496</v>
      </c>
      <c r="E3" s="53">
        <v>43496</v>
      </c>
      <c r="F3" s="53">
        <v>43486</v>
      </c>
      <c r="G3" s="53">
        <v>43485</v>
      </c>
      <c r="H3" s="53">
        <v>43496</v>
      </c>
      <c r="I3" s="53">
        <v>43490</v>
      </c>
      <c r="J3" s="53">
        <v>43515</v>
      </c>
      <c r="K3" s="56">
        <v>43489</v>
      </c>
      <c r="L3" s="61">
        <v>43490</v>
      </c>
      <c r="M3" s="53">
        <v>43490</v>
      </c>
      <c r="N3" s="53">
        <v>43490</v>
      </c>
      <c r="O3" s="68">
        <v>43529</v>
      </c>
    </row>
    <row r="4" spans="1:16" x14ac:dyDescent="0.25">
      <c r="A4" s="48" t="s">
        <v>70</v>
      </c>
      <c r="B4" s="54">
        <v>140</v>
      </c>
      <c r="C4" s="54">
        <v>80</v>
      </c>
      <c r="D4" s="54">
        <v>65</v>
      </c>
      <c r="E4" s="54">
        <v>65</v>
      </c>
      <c r="F4" s="54">
        <v>75</v>
      </c>
      <c r="G4" s="54">
        <v>75</v>
      </c>
      <c r="H4" s="54">
        <v>65</v>
      </c>
      <c r="I4" s="54">
        <v>71</v>
      </c>
      <c r="J4" s="54">
        <v>46</v>
      </c>
      <c r="K4" s="57">
        <v>46</v>
      </c>
      <c r="L4" s="62">
        <v>71</v>
      </c>
      <c r="M4" s="54">
        <v>71</v>
      </c>
      <c r="N4" s="54">
        <v>71</v>
      </c>
      <c r="O4" s="67">
        <v>31</v>
      </c>
    </row>
    <row r="5" spans="1:16" x14ac:dyDescent="0.25">
      <c r="A5" s="48" t="s">
        <v>33</v>
      </c>
      <c r="B5" s="48"/>
      <c r="C5" s="48"/>
      <c r="D5" s="48"/>
      <c r="E5" s="48"/>
      <c r="F5" s="48"/>
      <c r="G5" s="48"/>
      <c r="H5" s="48"/>
      <c r="I5" s="48"/>
      <c r="J5" s="48"/>
      <c r="K5" s="55"/>
      <c r="L5" s="60"/>
      <c r="M5" s="48"/>
      <c r="N5" s="48"/>
      <c r="O5" s="67"/>
    </row>
    <row r="6" spans="1:16" x14ac:dyDescent="0.25">
      <c r="A6" s="48" t="s">
        <v>32</v>
      </c>
      <c r="B6" s="43">
        <v>1386000000</v>
      </c>
      <c r="C6" s="43">
        <v>126800000</v>
      </c>
      <c r="D6" s="43">
        <v>60480000</v>
      </c>
      <c r="E6" s="43">
        <v>46660000</v>
      </c>
      <c r="F6" s="43">
        <v>327200000</v>
      </c>
      <c r="G6" s="43">
        <v>51470000</v>
      </c>
      <c r="H6" s="43">
        <v>66440000</v>
      </c>
      <c r="I6" s="43">
        <v>24600000</v>
      </c>
      <c r="J6" s="43">
        <v>81160000</v>
      </c>
      <c r="K6" s="58">
        <v>66990000</v>
      </c>
      <c r="L6" s="63">
        <v>37590000</v>
      </c>
      <c r="M6" s="43">
        <v>14659616</v>
      </c>
      <c r="N6" s="43">
        <v>2930000</v>
      </c>
      <c r="O6" s="69">
        <v>552714.5</v>
      </c>
    </row>
    <row r="7" spans="1:16" x14ac:dyDescent="0.25">
      <c r="A7" s="48" t="s">
        <v>55</v>
      </c>
      <c r="B7" s="44">
        <v>0.11</v>
      </c>
      <c r="C7" s="44">
        <v>0.28000000000000003</v>
      </c>
      <c r="D7" s="44">
        <v>0.23</v>
      </c>
      <c r="E7" s="44">
        <v>0.19</v>
      </c>
      <c r="F7" s="44">
        <v>0.16</v>
      </c>
      <c r="G7" s="44">
        <v>0.14000000000000001</v>
      </c>
      <c r="H7" s="44">
        <v>0.18</v>
      </c>
      <c r="I7" s="44">
        <v>0.16</v>
      </c>
      <c r="J7" s="44">
        <v>6.2E-2</v>
      </c>
      <c r="K7" s="59">
        <v>0.2</v>
      </c>
      <c r="L7" s="64">
        <v>0.17</v>
      </c>
      <c r="M7" s="44">
        <v>0.17</v>
      </c>
      <c r="N7" s="44">
        <v>0.14000000000000001</v>
      </c>
      <c r="O7" s="70">
        <v>0.14000000000000001</v>
      </c>
    </row>
    <row r="8" spans="1:16" x14ac:dyDescent="0.25">
      <c r="A8" s="48"/>
      <c r="B8" s="48"/>
      <c r="C8" s="48"/>
      <c r="D8" s="48"/>
      <c r="E8" s="48"/>
      <c r="F8" s="48"/>
      <c r="G8" s="48"/>
      <c r="H8" s="48"/>
      <c r="I8" s="48"/>
      <c r="J8" s="48"/>
      <c r="K8" s="55"/>
      <c r="L8" s="60"/>
      <c r="M8" s="48"/>
      <c r="N8" s="48"/>
      <c r="O8" s="67"/>
    </row>
    <row r="9" spans="1:16" x14ac:dyDescent="0.25">
      <c r="A9" s="48" t="s">
        <v>31</v>
      </c>
      <c r="B9" s="54">
        <v>82875</v>
      </c>
      <c r="C9" s="54">
        <v>2920</v>
      </c>
      <c r="D9" s="54">
        <v>119827</v>
      </c>
      <c r="E9" s="54">
        <v>117710</v>
      </c>
      <c r="F9" s="54">
        <v>241703</v>
      </c>
      <c r="G9" s="54">
        <v>10156</v>
      </c>
      <c r="H9" s="54">
        <v>38172</v>
      </c>
      <c r="I9" s="54">
        <v>5454</v>
      </c>
      <c r="J9" s="54">
        <v>53183</v>
      </c>
      <c r="K9" s="57">
        <v>63536</v>
      </c>
      <c r="L9" s="62">
        <v>14404</v>
      </c>
      <c r="M9" s="54">
        <v>4038</v>
      </c>
      <c r="N9" s="54">
        <v>1026</v>
      </c>
      <c r="O9" s="67">
        <v>117</v>
      </c>
      <c r="P9" s="1"/>
    </row>
    <row r="10" spans="1:16" x14ac:dyDescent="0.25">
      <c r="A10" s="48" t="s">
        <v>34</v>
      </c>
      <c r="B10" s="54"/>
      <c r="C10" s="54"/>
      <c r="D10" s="54"/>
      <c r="E10" s="54"/>
      <c r="F10" s="54"/>
      <c r="G10" s="54"/>
      <c r="H10" s="54"/>
      <c r="I10" s="54"/>
      <c r="J10" s="54"/>
      <c r="K10" s="57"/>
      <c r="L10" s="62"/>
      <c r="M10" s="54"/>
      <c r="N10" s="54">
        <f>125+53</f>
        <v>178</v>
      </c>
      <c r="O10" s="67">
        <v>39</v>
      </c>
    </row>
    <row r="11" spans="1:16" x14ac:dyDescent="0.25">
      <c r="A11" s="48" t="s">
        <v>123</v>
      </c>
      <c r="B11" s="54"/>
      <c r="C11" s="54"/>
      <c r="D11" s="54"/>
      <c r="E11" s="54"/>
      <c r="F11" s="54"/>
      <c r="G11" s="54"/>
      <c r="H11" s="54"/>
      <c r="I11" s="54"/>
      <c r="J11" s="54"/>
      <c r="K11" s="57"/>
      <c r="L11" s="62"/>
      <c r="M11" s="54"/>
      <c r="N11" s="54">
        <v>53</v>
      </c>
      <c r="O11" s="67">
        <v>17</v>
      </c>
    </row>
    <row r="12" spans="1:16" x14ac:dyDescent="0.25">
      <c r="A12" s="48" t="s">
        <v>35</v>
      </c>
      <c r="B12" s="54">
        <v>3335</v>
      </c>
      <c r="C12" s="54">
        <v>69</v>
      </c>
      <c r="D12" s="54">
        <v>14681</v>
      </c>
      <c r="E12" s="54">
        <v>10935</v>
      </c>
      <c r="F12" s="54">
        <v>5854</v>
      </c>
      <c r="G12" s="54">
        <v>177</v>
      </c>
      <c r="H12" s="54">
        <v>3605</v>
      </c>
      <c r="I12" s="54">
        <v>28</v>
      </c>
      <c r="J12" s="54">
        <v>3294</v>
      </c>
      <c r="K12" s="57">
        <v>6493</v>
      </c>
      <c r="L12" s="62">
        <v>258</v>
      </c>
      <c r="M12" s="54">
        <v>119</v>
      </c>
      <c r="N12" s="54">
        <v>25</v>
      </c>
      <c r="O12" s="67">
        <v>0</v>
      </c>
    </row>
    <row r="14" spans="1:16" x14ac:dyDescent="0.25">
      <c r="A14" s="48" t="s">
        <v>36</v>
      </c>
      <c r="B14" s="48"/>
      <c r="C14" s="48"/>
      <c r="D14" s="48"/>
      <c r="E14" s="48"/>
      <c r="F14" s="48"/>
      <c r="G14" s="48"/>
      <c r="H14" s="48"/>
      <c r="I14" s="48"/>
      <c r="J14" s="48"/>
      <c r="K14" s="48"/>
      <c r="L14" s="48"/>
      <c r="M14" s="48"/>
      <c r="N14" s="48"/>
      <c r="O14" s="48"/>
    </row>
    <row r="15" spans="1:16" x14ac:dyDescent="0.25">
      <c r="A15" s="48" t="s">
        <v>34</v>
      </c>
      <c r="B15" s="48"/>
      <c r="C15" s="48"/>
      <c r="D15" s="48"/>
      <c r="E15" s="48"/>
      <c r="F15" s="48"/>
      <c r="G15" s="48"/>
      <c r="H15" s="48"/>
      <c r="I15" s="48"/>
      <c r="J15" s="48"/>
      <c r="K15" s="48"/>
      <c r="L15" s="48"/>
      <c r="M15" s="48"/>
      <c r="N15" s="48"/>
      <c r="O15" s="48"/>
    </row>
    <row r="16" spans="1:16" x14ac:dyDescent="0.25">
      <c r="A16" s="48" t="s">
        <v>35</v>
      </c>
      <c r="B16" s="71">
        <f>B12/B9</f>
        <v>4.0241327300150828E-2</v>
      </c>
      <c r="C16" s="71">
        <f t="shared" ref="C16:O16" si="0">C12/C9</f>
        <v>2.363013698630137E-2</v>
      </c>
      <c r="D16" s="71">
        <f t="shared" si="0"/>
        <v>0.1225182972118137</v>
      </c>
      <c r="E16" s="71">
        <f t="shared" si="0"/>
        <v>9.289779967717271E-2</v>
      </c>
      <c r="F16" s="71">
        <f t="shared" si="0"/>
        <v>2.4219806953161525E-2</v>
      </c>
      <c r="G16" s="71">
        <f t="shared" si="0"/>
        <v>1.7428121307601418E-2</v>
      </c>
      <c r="H16" s="71">
        <f t="shared" si="0"/>
        <v>9.4440951482762228E-2</v>
      </c>
      <c r="I16" s="71">
        <f t="shared" si="0"/>
        <v>5.1338467180051337E-3</v>
      </c>
      <c r="J16" s="71">
        <f t="shared" si="0"/>
        <v>6.1937085158791344E-2</v>
      </c>
      <c r="K16" s="71">
        <f t="shared" si="0"/>
        <v>0.10219403173004281</v>
      </c>
      <c r="L16" s="71">
        <f t="shared" si="0"/>
        <v>1.7911691196889751E-2</v>
      </c>
      <c r="M16" s="71">
        <f t="shared" si="0"/>
        <v>2.9470034670629024E-2</v>
      </c>
      <c r="N16" s="71">
        <f t="shared" si="0"/>
        <v>2.4366471734892786E-2</v>
      </c>
      <c r="O16" s="71">
        <f t="shared" si="0"/>
        <v>0</v>
      </c>
    </row>
    <row r="17" spans="1:15" x14ac:dyDescent="0.25">
      <c r="B17" s="1"/>
      <c r="C17" s="1"/>
      <c r="D17" s="1"/>
      <c r="E17" s="1"/>
      <c r="F17" s="1"/>
      <c r="G17" s="1"/>
      <c r="H17" s="1"/>
      <c r="I17" s="1"/>
      <c r="J17" s="1"/>
      <c r="K17" s="1"/>
      <c r="L17" s="1"/>
      <c r="M17" s="1"/>
      <c r="N17" s="1"/>
    </row>
    <row r="18" spans="1:15" x14ac:dyDescent="0.25">
      <c r="B18" s="11" t="s">
        <v>61</v>
      </c>
      <c r="C18" s="1"/>
      <c r="D18" s="11" t="s">
        <v>60</v>
      </c>
      <c r="E18" s="1"/>
      <c r="F18" s="1"/>
      <c r="G18" s="1"/>
      <c r="H18" s="1"/>
      <c r="I18" s="1"/>
      <c r="J18" s="1"/>
      <c r="K18" s="1"/>
      <c r="L18" s="1"/>
      <c r="M18" s="1"/>
      <c r="N18" s="1"/>
    </row>
    <row r="19" spans="1:15" x14ac:dyDescent="0.25">
      <c r="A19" s="48" t="s">
        <v>58</v>
      </c>
      <c r="B19" s="72">
        <v>0.15</v>
      </c>
      <c r="C19" s="72"/>
      <c r="D19" s="72">
        <v>0.56000000000000005</v>
      </c>
      <c r="E19" s="72"/>
      <c r="F19" s="72"/>
      <c r="G19" s="72"/>
      <c r="H19" s="72"/>
      <c r="I19" s="72"/>
      <c r="J19" s="72"/>
      <c r="K19" s="72"/>
      <c r="L19" s="72">
        <v>0.13</v>
      </c>
      <c r="M19" s="72"/>
      <c r="N19" s="72">
        <f>N10/N9</f>
        <v>0.17348927875243664</v>
      </c>
      <c r="O19" s="72">
        <f>O10/O9</f>
        <v>0.33333333333333331</v>
      </c>
    </row>
    <row r="20" spans="1:15" x14ac:dyDescent="0.25">
      <c r="A20" s="48" t="s">
        <v>59</v>
      </c>
      <c r="B20" s="72">
        <v>0.05</v>
      </c>
      <c r="C20" s="72"/>
      <c r="D20" s="72">
        <v>0.1</v>
      </c>
      <c r="E20" s="72"/>
      <c r="F20" s="72"/>
      <c r="G20" s="72"/>
      <c r="H20" s="72"/>
      <c r="I20" s="72"/>
      <c r="J20" s="72"/>
      <c r="K20" s="72"/>
      <c r="L20" s="72"/>
      <c r="M20" s="72"/>
      <c r="N20" s="72">
        <f>N11/N9</f>
        <v>5.1656920077972707E-2</v>
      </c>
      <c r="O20" s="72">
        <f>O11/O9</f>
        <v>0.14529914529914531</v>
      </c>
    </row>
    <row r="21" spans="1:15" x14ac:dyDescent="0.25">
      <c r="B21" s="1"/>
      <c r="C21" s="1"/>
      <c r="D21" s="1"/>
      <c r="E21" s="1"/>
      <c r="F21" s="1"/>
      <c r="G21" s="1"/>
      <c r="H21" s="1"/>
      <c r="I21" s="1"/>
      <c r="J21" s="1"/>
      <c r="K21" s="1"/>
      <c r="L21" s="1"/>
      <c r="M21" s="1"/>
      <c r="N21" s="2"/>
    </row>
    <row r="23" spans="1:15" x14ac:dyDescent="0.25">
      <c r="A23" t="s">
        <v>42</v>
      </c>
    </row>
    <row r="24" spans="1:15" x14ac:dyDescent="0.25">
      <c r="A24" s="48" t="s">
        <v>41</v>
      </c>
      <c r="B24" s="66">
        <f t="shared" ref="B24:M24" si="1">B9/B6*100000</f>
        <v>5.97943722943723</v>
      </c>
      <c r="C24" s="66">
        <f t="shared" si="1"/>
        <v>2.3028391167192428</v>
      </c>
      <c r="D24" s="66">
        <f t="shared" si="1"/>
        <v>198.12665343915342</v>
      </c>
      <c r="E24" s="66">
        <f t="shared" si="1"/>
        <v>252.27175310758679</v>
      </c>
      <c r="F24" s="66">
        <f t="shared" si="1"/>
        <v>73.870110024449886</v>
      </c>
      <c r="G24" s="66">
        <f t="shared" si="1"/>
        <v>19.731882650087428</v>
      </c>
      <c r="H24" s="66">
        <f t="shared" si="1"/>
        <v>57.453341360626133</v>
      </c>
      <c r="I24" s="66">
        <f t="shared" si="1"/>
        <v>22.170731707317071</v>
      </c>
      <c r="J24" s="66">
        <f t="shared" si="1"/>
        <v>65.528585510103497</v>
      </c>
      <c r="K24" s="66">
        <f t="shared" si="1"/>
        <v>94.844006568144508</v>
      </c>
      <c r="L24" s="66">
        <f t="shared" si="1"/>
        <v>38.318701782388935</v>
      </c>
      <c r="M24" s="66">
        <f t="shared" si="1"/>
        <v>27.545059843313769</v>
      </c>
      <c r="N24" s="66">
        <f>N9/$N$6*100000</f>
        <v>35.017064846416382</v>
      </c>
      <c r="O24" s="66">
        <f>O9/$O$6*100000</f>
        <v>21.168252325567721</v>
      </c>
    </row>
    <row r="25" spans="1:15" x14ac:dyDescent="0.25">
      <c r="A25" s="48" t="s">
        <v>34</v>
      </c>
      <c r="B25" s="65"/>
      <c r="C25" s="65"/>
      <c r="D25" s="65"/>
      <c r="E25" s="65"/>
      <c r="F25" s="65"/>
      <c r="G25" s="65"/>
      <c r="H25" s="65"/>
      <c r="I25" s="65"/>
      <c r="J25" s="65"/>
      <c r="K25" s="65"/>
      <c r="L25" s="65"/>
      <c r="M25" s="65"/>
      <c r="N25" s="66">
        <f>N10/$N$6*100000</f>
        <v>6.0750853242320817</v>
      </c>
      <c r="O25" s="66">
        <f>O10/$O$6*100000</f>
        <v>7.0560841085225734</v>
      </c>
    </row>
    <row r="26" spans="1:15" x14ac:dyDescent="0.25">
      <c r="A26" s="48" t="s">
        <v>35</v>
      </c>
      <c r="B26" s="66">
        <f>B12/B6*100000</f>
        <v>0.24062049062049062</v>
      </c>
      <c r="C26" s="66">
        <f t="shared" ref="C26:O26" si="2">C12/C6*100000</f>
        <v>5.4416403785488961E-2</v>
      </c>
      <c r="D26" s="66">
        <f t="shared" si="2"/>
        <v>24.274140211640212</v>
      </c>
      <c r="E26" s="66">
        <f t="shared" si="2"/>
        <v>23.435490784397771</v>
      </c>
      <c r="F26" s="66">
        <f t="shared" si="2"/>
        <v>1.789119804400978</v>
      </c>
      <c r="G26" s="66">
        <f t="shared" si="2"/>
        <v>0.34388964445307946</v>
      </c>
      <c r="H26" s="66">
        <f t="shared" si="2"/>
        <v>5.4259482239614689</v>
      </c>
      <c r="I26" s="66">
        <f t="shared" si="2"/>
        <v>0.11382113821138211</v>
      </c>
      <c r="J26" s="66">
        <f t="shared" si="2"/>
        <v>4.0586495810744205</v>
      </c>
      <c r="K26" s="66">
        <f t="shared" si="2"/>
        <v>9.6924914166293483</v>
      </c>
      <c r="L26" s="66">
        <f t="shared" si="2"/>
        <v>0.68635275339185953</v>
      </c>
      <c r="M26" s="66">
        <f t="shared" si="2"/>
        <v>0.81175386858700793</v>
      </c>
      <c r="N26" s="66">
        <f t="shared" si="2"/>
        <v>0.85324232081911267</v>
      </c>
      <c r="O26" s="66">
        <f t="shared" si="2"/>
        <v>0</v>
      </c>
    </row>
    <row r="27" spans="1:15" x14ac:dyDescent="0.25">
      <c r="N27" s="1"/>
      <c r="O27" s="31"/>
    </row>
    <row r="29" spans="1:15" hidden="1" x14ac:dyDescent="0.25">
      <c r="A29" s="10" t="s">
        <v>74</v>
      </c>
    </row>
    <row r="30" spans="1:15" hidden="1" x14ac:dyDescent="0.25"/>
    <row r="31" spans="1:15" hidden="1" x14ac:dyDescent="0.25"/>
    <row r="32" spans="1:15" hidden="1" x14ac:dyDescent="0.25">
      <c r="A32" t="s">
        <v>48</v>
      </c>
      <c r="B32" s="7">
        <f t="shared" ref="B32:O32" si="3">B24*$L$6/100000</f>
        <v>2247.6704545454545</v>
      </c>
      <c r="C32" s="7">
        <f t="shared" si="3"/>
        <v>865.63722397476329</v>
      </c>
      <c r="D32" s="7">
        <f t="shared" si="3"/>
        <v>74475.809027777766</v>
      </c>
      <c r="E32" s="7">
        <f t="shared" si="3"/>
        <v>94828.951993141876</v>
      </c>
      <c r="F32" s="7">
        <f t="shared" si="3"/>
        <v>27767.774358190713</v>
      </c>
      <c r="G32" s="7">
        <f t="shared" si="3"/>
        <v>7417.2146881678636</v>
      </c>
      <c r="H32" s="7">
        <f t="shared" si="3"/>
        <v>21596.711017459365</v>
      </c>
      <c r="I32" s="7">
        <f t="shared" si="3"/>
        <v>8333.9780487804874</v>
      </c>
      <c r="J32" s="7">
        <f t="shared" si="3"/>
        <v>24632.195293247903</v>
      </c>
      <c r="K32" s="7">
        <f t="shared" si="3"/>
        <v>35651.862068965522</v>
      </c>
      <c r="L32" s="7">
        <f t="shared" si="3"/>
        <v>14404</v>
      </c>
      <c r="M32" s="7">
        <f t="shared" si="3"/>
        <v>10354.187995101645</v>
      </c>
      <c r="N32" s="7">
        <f t="shared" si="3"/>
        <v>13162.914675767917</v>
      </c>
      <c r="O32" s="7">
        <f t="shared" si="3"/>
        <v>7957.1460491809057</v>
      </c>
    </row>
    <row r="33" spans="1:15" hidden="1" x14ac:dyDescent="0.25">
      <c r="B33" s="7"/>
      <c r="C33" s="7"/>
      <c r="D33" s="7"/>
      <c r="E33" s="7"/>
      <c r="F33" s="7"/>
      <c r="G33" s="7"/>
      <c r="H33" s="7"/>
      <c r="I33" s="7"/>
      <c r="J33" s="7"/>
      <c r="K33" s="7"/>
      <c r="L33" s="7"/>
      <c r="M33" s="7"/>
      <c r="N33" s="7"/>
      <c r="O33" s="7"/>
    </row>
    <row r="34" spans="1:15" hidden="1" x14ac:dyDescent="0.25">
      <c r="A34" t="s">
        <v>49</v>
      </c>
      <c r="B34" s="7">
        <f t="shared" ref="B34:O34" si="4">B26*$L$6/100000</f>
        <v>90.449242424242428</v>
      </c>
      <c r="C34" s="7">
        <f t="shared" si="4"/>
        <v>20.455126182965301</v>
      </c>
      <c r="D34" s="7">
        <f t="shared" si="4"/>
        <v>9124.6493055555566</v>
      </c>
      <c r="E34" s="7">
        <f t="shared" si="4"/>
        <v>8809.4009858551235</v>
      </c>
      <c r="F34" s="7">
        <f t="shared" si="4"/>
        <v>672.53013447432761</v>
      </c>
      <c r="G34" s="7">
        <f t="shared" si="4"/>
        <v>129.26811734991256</v>
      </c>
      <c r="H34" s="7">
        <f t="shared" si="4"/>
        <v>2039.6139373871163</v>
      </c>
      <c r="I34" s="7">
        <f t="shared" si="4"/>
        <v>42.785365853658533</v>
      </c>
      <c r="J34" s="7">
        <f t="shared" si="4"/>
        <v>1525.6463775258746</v>
      </c>
      <c r="K34" s="7">
        <f t="shared" si="4"/>
        <v>3643.4075235109722</v>
      </c>
      <c r="L34" s="7">
        <f t="shared" si="4"/>
        <v>258</v>
      </c>
      <c r="M34" s="7">
        <f t="shared" si="4"/>
        <v>305.13827920185628</v>
      </c>
      <c r="N34" s="7">
        <f t="shared" si="4"/>
        <v>320.73378839590447</v>
      </c>
      <c r="O34" s="7">
        <f t="shared" si="4"/>
        <v>0</v>
      </c>
    </row>
    <row r="35" spans="1:15" hidden="1" x14ac:dyDescent="0.25"/>
    <row r="36" spans="1:15" hidden="1" x14ac:dyDescent="0.25">
      <c r="A36" t="s">
        <v>48</v>
      </c>
      <c r="B36" t="s">
        <v>75</v>
      </c>
    </row>
    <row r="37" spans="1:15" hidden="1" x14ac:dyDescent="0.25">
      <c r="A37" t="s">
        <v>50</v>
      </c>
      <c r="B37" s="7">
        <f>MIN($B$32:$M$32)</f>
        <v>865.63722397476329</v>
      </c>
      <c r="C37" s="7"/>
    </row>
    <row r="38" spans="1:15" hidden="1" x14ac:dyDescent="0.25">
      <c r="A38" t="s">
        <v>51</v>
      </c>
      <c r="B38" s="7">
        <f>MAX(B32:M32)</f>
        <v>94828.951993141876</v>
      </c>
      <c r="C38">
        <f>B38*1.6%</f>
        <v>1517.2632318902702</v>
      </c>
      <c r="D38" t="s">
        <v>78</v>
      </c>
    </row>
    <row r="39" spans="1:15" hidden="1" x14ac:dyDescent="0.25"/>
    <row r="40" spans="1:15" hidden="1" x14ac:dyDescent="0.25">
      <c r="A40" t="s">
        <v>49</v>
      </c>
    </row>
    <row r="41" spans="1:15" hidden="1" x14ac:dyDescent="0.25">
      <c r="A41" t="s">
        <v>50</v>
      </c>
      <c r="B41" s="7">
        <f>MIN(B34:M34)</f>
        <v>20.455126182965301</v>
      </c>
    </row>
    <row r="42" spans="1:15" hidden="1" x14ac:dyDescent="0.25">
      <c r="A42" t="s">
        <v>51</v>
      </c>
      <c r="B42" s="7">
        <f>MAX($B$34:$M$34)</f>
        <v>9124.6493055555566</v>
      </c>
      <c r="C42">
        <f>B42*1.6%</f>
        <v>145.99438888888892</v>
      </c>
      <c r="D42" t="s">
        <v>78</v>
      </c>
    </row>
    <row r="43" spans="1:15" hidden="1" x14ac:dyDescent="0.25">
      <c r="B43" s="7"/>
    </row>
    <row r="44" spans="1:15" hidden="1" x14ac:dyDescent="0.25">
      <c r="A44" t="s">
        <v>63</v>
      </c>
      <c r="B44" s="7" t="s">
        <v>65</v>
      </c>
      <c r="C44" t="s">
        <v>66</v>
      </c>
    </row>
    <row r="45" spans="1:15" hidden="1" x14ac:dyDescent="0.25">
      <c r="A45" t="s">
        <v>50</v>
      </c>
      <c r="B45" s="7">
        <f>B19*L9</f>
        <v>2160.6</v>
      </c>
      <c r="C45" s="7">
        <f>B37*B19</f>
        <v>129.84558359621448</v>
      </c>
    </row>
    <row r="46" spans="1:15" hidden="1" x14ac:dyDescent="0.25">
      <c r="A46" t="s">
        <v>51</v>
      </c>
      <c r="B46" s="7">
        <f>L9*D19</f>
        <v>8066.2400000000007</v>
      </c>
      <c r="C46" s="7">
        <f>B38*D19</f>
        <v>53104.213116159459</v>
      </c>
      <c r="D46">
        <f>C46*1.6%</f>
        <v>849.66740985855131</v>
      </c>
      <c r="E46" t="s">
        <v>78</v>
      </c>
    </row>
    <row r="47" spans="1:15" hidden="1" x14ac:dyDescent="0.25">
      <c r="B47" s="7"/>
    </row>
    <row r="48" spans="1:15" hidden="1" x14ac:dyDescent="0.25">
      <c r="A48" t="s">
        <v>64</v>
      </c>
      <c r="B48" s="7" t="s">
        <v>77</v>
      </c>
      <c r="C48" t="s">
        <v>76</v>
      </c>
    </row>
    <row r="49" spans="1:14" hidden="1" x14ac:dyDescent="0.25">
      <c r="A49" t="s">
        <v>50</v>
      </c>
      <c r="B49" s="7"/>
    </row>
    <row r="50" spans="1:14" hidden="1" x14ac:dyDescent="0.25">
      <c r="A50" t="s">
        <v>51</v>
      </c>
      <c r="B50" s="7">
        <f>L9*D20</f>
        <v>1440.4</v>
      </c>
      <c r="C50" s="7">
        <f>B38*D20</f>
        <v>9482.8951993141873</v>
      </c>
      <c r="D50">
        <f>C50*1.6%</f>
        <v>151.726323189027</v>
      </c>
      <c r="E50" t="s">
        <v>78</v>
      </c>
    </row>
    <row r="51" spans="1:14" hidden="1" x14ac:dyDescent="0.25"/>
    <row r="52" spans="1:14" hidden="1" x14ac:dyDescent="0.25"/>
    <row r="53" spans="1:14" hidden="1" x14ac:dyDescent="0.25">
      <c r="A53" s="10" t="s">
        <v>47</v>
      </c>
    </row>
    <row r="54" spans="1:14" hidden="1" x14ac:dyDescent="0.25"/>
    <row r="55" spans="1:14" hidden="1" x14ac:dyDescent="0.25">
      <c r="A55" t="s">
        <v>48</v>
      </c>
      <c r="B55" s="7">
        <f t="shared" ref="B55:M55" si="5">B24*$M$6/100000</f>
        <v>876.56253679653685</v>
      </c>
      <c r="C55" s="7">
        <f t="shared" si="5"/>
        <v>337.58737160883277</v>
      </c>
      <c r="D55" s="7">
        <f t="shared" si="5"/>
        <v>29044.606587830687</v>
      </c>
      <c r="E55" s="7">
        <f t="shared" si="5"/>
        <v>36982.070282040288</v>
      </c>
      <c r="F55" s="7">
        <f t="shared" si="5"/>
        <v>10829.07446836186</v>
      </c>
      <c r="G55" s="7">
        <f t="shared" si="5"/>
        <v>2892.6182260734408</v>
      </c>
      <c r="H55" s="7">
        <f t="shared" si="5"/>
        <v>8422.4392226369673</v>
      </c>
      <c r="I55" s="7">
        <f t="shared" si="5"/>
        <v>3250.1441326829267</v>
      </c>
      <c r="J55" s="7">
        <f t="shared" si="5"/>
        <v>9606.2390060128146</v>
      </c>
      <c r="K55" s="7">
        <f t="shared" si="5"/>
        <v>13903.767161904763</v>
      </c>
      <c r="L55" s="7">
        <f t="shared" si="5"/>
        <v>5617.3745374833743</v>
      </c>
      <c r="M55" s="7">
        <f t="shared" si="5"/>
        <v>4038</v>
      </c>
      <c r="N55" s="7"/>
    </row>
    <row r="56" spans="1:14" hidden="1" x14ac:dyDescent="0.25">
      <c r="B56" s="7"/>
      <c r="C56" s="7"/>
      <c r="D56" s="7"/>
      <c r="E56" s="7"/>
      <c r="F56" s="7"/>
      <c r="G56" s="7"/>
      <c r="H56" s="7"/>
      <c r="I56" s="7"/>
      <c r="J56" s="7"/>
      <c r="K56" s="7"/>
      <c r="L56" s="7"/>
      <c r="M56" s="7"/>
      <c r="N56" s="7"/>
    </row>
    <row r="57" spans="1:14" hidden="1" x14ac:dyDescent="0.25">
      <c r="A57" t="s">
        <v>49</v>
      </c>
      <c r="B57" s="7">
        <f t="shared" ref="B57:M57" si="6">B26*$M$6/100000</f>
        <v>35.274039942279941</v>
      </c>
      <c r="C57" s="7">
        <f t="shared" si="6"/>
        <v>7.9772358359621451</v>
      </c>
      <c r="D57" s="7">
        <f t="shared" si="6"/>
        <v>3558.4957423280425</v>
      </c>
      <c r="E57" s="7">
        <f t="shared" si="6"/>
        <v>3435.5529567081012</v>
      </c>
      <c r="F57" s="7">
        <f t="shared" si="6"/>
        <v>262.27809310513447</v>
      </c>
      <c r="G57" s="7">
        <f t="shared" si="6"/>
        <v>50.41290134058675</v>
      </c>
      <c r="H57" s="7">
        <f t="shared" si="6"/>
        <v>795.42317399157139</v>
      </c>
      <c r="I57" s="7">
        <f t="shared" si="6"/>
        <v>16.685741788617886</v>
      </c>
      <c r="J57" s="7">
        <f t="shared" si="6"/>
        <v>594.98244337111873</v>
      </c>
      <c r="K57" s="7">
        <f t="shared" si="6"/>
        <v>1420.8820225108227</v>
      </c>
      <c r="L57" s="7">
        <f t="shared" si="6"/>
        <v>100.61667805267358</v>
      </c>
      <c r="M57" s="7">
        <f t="shared" si="6"/>
        <v>118.99999999999999</v>
      </c>
      <c r="N57" s="7"/>
    </row>
    <row r="58" spans="1:14" hidden="1" x14ac:dyDescent="0.25"/>
    <row r="59" spans="1:14" hidden="1" x14ac:dyDescent="0.25">
      <c r="A59" t="s">
        <v>48</v>
      </c>
    </row>
    <row r="60" spans="1:14" hidden="1" x14ac:dyDescent="0.25">
      <c r="A60" t="s">
        <v>50</v>
      </c>
      <c r="B60" s="7">
        <f>MIN($B$55:$M$55)</f>
        <v>337.58737160883277</v>
      </c>
    </row>
    <row r="61" spans="1:14" hidden="1" x14ac:dyDescent="0.25">
      <c r="A61" t="s">
        <v>51</v>
      </c>
      <c r="B61" s="7">
        <f>MAX($B$55:$M$55)</f>
        <v>36982.070282040288</v>
      </c>
    </row>
    <row r="62" spans="1:14" hidden="1" x14ac:dyDescent="0.25"/>
    <row r="63" spans="1:14" hidden="1" x14ac:dyDescent="0.25">
      <c r="A63" t="s">
        <v>49</v>
      </c>
    </row>
    <row r="64" spans="1:14" hidden="1" x14ac:dyDescent="0.25">
      <c r="A64" t="s">
        <v>50</v>
      </c>
      <c r="B64" s="7">
        <f>MIN($B$57:$M$57)</f>
        <v>7.9772358359621451</v>
      </c>
    </row>
    <row r="65" spans="1:14" hidden="1" x14ac:dyDescent="0.25">
      <c r="A65" t="s">
        <v>51</v>
      </c>
      <c r="B65" s="7">
        <f>MAX($B$57:$M$57)</f>
        <v>3558.4957423280425</v>
      </c>
    </row>
    <row r="66" spans="1:14" hidden="1" x14ac:dyDescent="0.25">
      <c r="B66" s="7"/>
    </row>
    <row r="67" spans="1:14" hidden="1" x14ac:dyDescent="0.25">
      <c r="A67" t="s">
        <v>63</v>
      </c>
      <c r="B67" s="7" t="s">
        <v>77</v>
      </c>
      <c r="C67" t="s">
        <v>76</v>
      </c>
    </row>
    <row r="68" spans="1:14" hidden="1" x14ac:dyDescent="0.25">
      <c r="A68" t="s">
        <v>50</v>
      </c>
      <c r="B68" s="7">
        <f>B19*M9</f>
        <v>605.69999999999993</v>
      </c>
    </row>
    <row r="69" spans="1:14" hidden="1" x14ac:dyDescent="0.25">
      <c r="A69" t="s">
        <v>51</v>
      </c>
      <c r="B69" s="7">
        <f>D19*M9</f>
        <v>2261.2800000000002</v>
      </c>
      <c r="C69" s="7">
        <f>B61*D19</f>
        <v>20709.959357942564</v>
      </c>
    </row>
    <row r="70" spans="1:14" hidden="1" x14ac:dyDescent="0.25">
      <c r="B70" s="7"/>
    </row>
    <row r="71" spans="1:14" hidden="1" x14ac:dyDescent="0.25">
      <c r="A71" t="s">
        <v>64</v>
      </c>
      <c r="B71" s="7" t="s">
        <v>77</v>
      </c>
      <c r="C71" t="s">
        <v>76</v>
      </c>
    </row>
    <row r="72" spans="1:14" hidden="1" x14ac:dyDescent="0.25">
      <c r="A72" t="s">
        <v>50</v>
      </c>
      <c r="B72" s="7">
        <f>B20*M9</f>
        <v>201.9</v>
      </c>
    </row>
    <row r="73" spans="1:14" hidden="1" x14ac:dyDescent="0.25">
      <c r="A73" t="s">
        <v>51</v>
      </c>
      <c r="B73">
        <f>D20*M9</f>
        <v>403.8</v>
      </c>
      <c r="C73" s="7">
        <f>B61*D20</f>
        <v>3698.207028204029</v>
      </c>
    </row>
    <row r="75" spans="1:14" x14ac:dyDescent="0.25">
      <c r="A75" s="10" t="s">
        <v>52</v>
      </c>
    </row>
    <row r="77" spans="1:14" x14ac:dyDescent="0.25">
      <c r="A77" s="48" t="s">
        <v>48</v>
      </c>
      <c r="B77" s="43">
        <f t="shared" ref="B77:M77" si="7">B24*$O$6/100000</f>
        <v>33.049216585497838</v>
      </c>
      <c r="C77" s="43">
        <f t="shared" si="7"/>
        <v>12.728125709779178</v>
      </c>
      <c r="D77" s="43">
        <f t="shared" si="7"/>
        <v>1095.0747419229494</v>
      </c>
      <c r="E77" s="43">
        <f t="shared" si="7"/>
        <v>1394.3425588298326</v>
      </c>
      <c r="F77" s="43">
        <f t="shared" si="7"/>
        <v>408.29080927108811</v>
      </c>
      <c r="G77" s="43">
        <f t="shared" si="7"/>
        <v>109.06097653001748</v>
      </c>
      <c r="H77" s="43">
        <f t="shared" si="7"/>
        <v>317.55294843467794</v>
      </c>
      <c r="I77" s="43">
        <f t="shared" si="7"/>
        <v>122.54084890243901</v>
      </c>
      <c r="J77" s="43">
        <f t="shared" si="7"/>
        <v>362.18599375924094</v>
      </c>
      <c r="K77" s="43">
        <f t="shared" si="7"/>
        <v>524.21657668308706</v>
      </c>
      <c r="L77" s="43">
        <f t="shared" si="7"/>
        <v>211.79302096302209</v>
      </c>
      <c r="M77" s="43">
        <f t="shared" si="7"/>
        <v>152.24553978767247</v>
      </c>
      <c r="N77" s="7"/>
    </row>
    <row r="78" spans="1:14" x14ac:dyDescent="0.25">
      <c r="A78" s="48"/>
      <c r="B78" s="43"/>
      <c r="C78" s="43"/>
      <c r="D78" s="43"/>
      <c r="E78" s="43"/>
      <c r="F78" s="43"/>
      <c r="G78" s="43"/>
      <c r="H78" s="43"/>
      <c r="I78" s="43"/>
      <c r="J78" s="43"/>
      <c r="K78" s="43"/>
      <c r="L78" s="43"/>
      <c r="M78" s="43"/>
      <c r="N78" s="7"/>
    </row>
    <row r="79" spans="1:14" x14ac:dyDescent="0.25">
      <c r="A79" s="48" t="s">
        <v>49</v>
      </c>
      <c r="B79" s="43">
        <f t="shared" ref="B79:M79" si="8">B26*$O$6/100000</f>
        <v>1.3299443416305916</v>
      </c>
      <c r="C79" s="43">
        <f t="shared" si="8"/>
        <v>0.3007673541009464</v>
      </c>
      <c r="D79" s="43">
        <f t="shared" si="8"/>
        <v>134.16669270006614</v>
      </c>
      <c r="E79" s="43">
        <f t="shared" si="8"/>
        <v>129.53135571153021</v>
      </c>
      <c r="F79" s="43">
        <f t="shared" si="8"/>
        <v>9.8887245812958433</v>
      </c>
      <c r="G79" s="43">
        <f t="shared" si="8"/>
        <v>1.9007279288906158</v>
      </c>
      <c r="H79" s="43">
        <f t="shared" si="8"/>
        <v>29.990002596327514</v>
      </c>
      <c r="I79" s="43">
        <f t="shared" si="8"/>
        <v>0.62910593495934952</v>
      </c>
      <c r="J79" s="43">
        <f t="shared" si="8"/>
        <v>22.43274473878758</v>
      </c>
      <c r="K79" s="43">
        <f t="shared" si="8"/>
        <v>53.57180547096582</v>
      </c>
      <c r="L79" s="43">
        <f t="shared" si="8"/>
        <v>3.7935711891460495</v>
      </c>
      <c r="M79" s="43">
        <f t="shared" si="8"/>
        <v>4.4866813359913378</v>
      </c>
      <c r="N79" s="7"/>
    </row>
    <row r="81" spans="1:3" x14ac:dyDescent="0.25">
      <c r="A81" s="65" t="s">
        <v>48</v>
      </c>
      <c r="B81" s="65" t="s">
        <v>72</v>
      </c>
      <c r="C81" s="65" t="s">
        <v>73</v>
      </c>
    </row>
    <row r="82" spans="1:3" x14ac:dyDescent="0.25">
      <c r="A82" s="65" t="s">
        <v>50</v>
      </c>
      <c r="B82" s="66">
        <f>MIN($B$77:$M$77)</f>
        <v>12.728125709779178</v>
      </c>
      <c r="C82" s="66">
        <f>MIN($C$77:$M$77)</f>
        <v>12.728125709779178</v>
      </c>
    </row>
    <row r="83" spans="1:3" x14ac:dyDescent="0.25">
      <c r="A83" s="65" t="s">
        <v>51</v>
      </c>
      <c r="B83" s="66">
        <f>MAX($B$77:$M$77)</f>
        <v>1394.3425588298326</v>
      </c>
      <c r="C83" s="66">
        <f>MAX($C$77:$M$77)</f>
        <v>1394.3425588298326</v>
      </c>
    </row>
    <row r="84" spans="1:3" x14ac:dyDescent="0.25">
      <c r="A84" s="65"/>
      <c r="B84" s="65"/>
      <c r="C84" s="65"/>
    </row>
    <row r="85" spans="1:3" x14ac:dyDescent="0.25">
      <c r="A85" s="65" t="s">
        <v>49</v>
      </c>
      <c r="B85" s="65"/>
      <c r="C85" s="65"/>
    </row>
    <row r="86" spans="1:3" x14ac:dyDescent="0.25">
      <c r="A86" s="65" t="s">
        <v>50</v>
      </c>
      <c r="B86" s="66">
        <f>MIN($B$79:$M$79)</f>
        <v>0.3007673541009464</v>
      </c>
      <c r="C86" s="66">
        <f>MIN($C$79:$M$79)</f>
        <v>0.3007673541009464</v>
      </c>
    </row>
    <row r="87" spans="1:3" x14ac:dyDescent="0.25">
      <c r="A87" s="65" t="s">
        <v>51</v>
      </c>
      <c r="B87" s="66">
        <f>MAX($B$79:$M$79)</f>
        <v>134.16669270006614</v>
      </c>
      <c r="C87" s="66">
        <f>MAX($C$79:$M$79)</f>
        <v>134.16669270006614</v>
      </c>
    </row>
    <row r="88" spans="1:3" x14ac:dyDescent="0.25">
      <c r="A88" s="65"/>
      <c r="B88" s="65"/>
      <c r="C88" s="65"/>
    </row>
    <row r="89" spans="1:3" x14ac:dyDescent="0.25">
      <c r="A89" s="65" t="s">
        <v>27</v>
      </c>
      <c r="B89" s="65"/>
      <c r="C89" s="65"/>
    </row>
    <row r="90" spans="1:3" x14ac:dyDescent="0.25">
      <c r="A90" s="65" t="s">
        <v>50</v>
      </c>
      <c r="B90" s="66">
        <f>B82*$D$19</f>
        <v>7.1277503974763405</v>
      </c>
      <c r="C90" s="66">
        <f>C82*$D$19</f>
        <v>7.1277503974763405</v>
      </c>
    </row>
    <row r="91" spans="1:3" x14ac:dyDescent="0.25">
      <c r="A91" s="65" t="s">
        <v>51</v>
      </c>
      <c r="B91" s="66">
        <f>B83*$D$19</f>
        <v>780.83183294470632</v>
      </c>
      <c r="C91" s="66">
        <f>C83*$D$19</f>
        <v>780.83183294470632</v>
      </c>
    </row>
    <row r="92" spans="1:3" x14ac:dyDescent="0.25">
      <c r="A92" s="65"/>
      <c r="B92" s="66"/>
      <c r="C92" s="65"/>
    </row>
    <row r="93" spans="1:3" x14ac:dyDescent="0.25">
      <c r="A93" s="65" t="s">
        <v>62</v>
      </c>
      <c r="B93" s="66"/>
      <c r="C93" s="65"/>
    </row>
    <row r="94" spans="1:3" x14ac:dyDescent="0.25">
      <c r="A94" s="65" t="s">
        <v>50</v>
      </c>
      <c r="B94" s="66">
        <f>B82*$D$20</f>
        <v>1.2728125709779179</v>
      </c>
      <c r="C94" s="66">
        <f>C82*$D$20</f>
        <v>1.2728125709779179</v>
      </c>
    </row>
    <row r="95" spans="1:3" x14ac:dyDescent="0.25">
      <c r="A95" s="65" t="s">
        <v>51</v>
      </c>
      <c r="B95" s="66">
        <f>B83*$D$20</f>
        <v>139.43425588298325</v>
      </c>
      <c r="C95" s="66">
        <f>C83*$D$20</f>
        <v>139.43425588298325</v>
      </c>
    </row>
  </sheetData>
  <hyperlinks>
    <hyperlink ref="D18" r:id="rId1" xr:uid="{0F8ED578-6B60-4B63-BB20-255F6A7289F0}"/>
    <hyperlink ref="B18" r:id="rId2" xr:uid="{409D3C20-D255-4CF7-8B74-5B9E46996D31}"/>
    <hyperlink ref="B1" r:id="rId3" xr:uid="{020EBF65-5185-4829-91E3-81538241C1A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2) Comparative Cases March 25</vt:lpstr>
      <vt:lpstr>2) Comparative Cases March 26</vt:lpstr>
      <vt:lpstr>2) Comparative Cases March 27</vt:lpstr>
      <vt:lpstr>2) Comparative Cases March 28</vt:lpstr>
      <vt:lpstr>2) Comparative Cases March 30</vt:lpstr>
      <vt:lpstr>2) Comparative Cases April 1</vt:lpstr>
      <vt:lpstr>2) Comparative Cases April  2</vt:lpstr>
      <vt:lpstr>2) Comparative Cases April  3</vt:lpstr>
      <vt:lpstr>2) Comparative Cases April  4</vt:lpstr>
      <vt:lpstr>2) Comparative Cases April  5</vt:lpstr>
      <vt:lpstr>2) Comparative Cases April  6</vt:lpstr>
      <vt:lpstr>2) Comparative Cases April 9</vt:lpstr>
      <vt:lpstr>2) Comparative Cases April 12</vt:lpstr>
      <vt:lpstr>2) Comparative Cases April 16</vt:lpstr>
      <vt:lpstr>2) Comparative Cases April 19</vt:lpstr>
      <vt:lpstr>Cover</vt:lpstr>
      <vt:lpstr>1) Time Trends Toronto Region</vt:lpstr>
      <vt:lpstr>2) Comparative Cases April 26</vt:lpstr>
      <vt:lpstr>Trends Analysis</vt:lpstr>
      <vt:lpstr>Results</vt:lpstr>
      <vt:lpstr>Population</vt:lpstr>
      <vt:lpstr>2) Comparative Cases March 29</vt:lpstr>
      <vt:lpstr>3) Report Template</vt:lpstr>
      <vt:lpstr>Time Trends Ontario</vt:lpstr>
      <vt:lpstr>2) Comparative Cases March 24</vt:lpstr>
      <vt:lpstr>Time Trends Kitchener Region</vt:lpstr>
      <vt:lpstr>Comparative Cases March 23</vt:lpstr>
      <vt:lpstr>Comparative Cases March 22</vt:lpstr>
      <vt:lpstr>Comparative Cases March 21</vt:lpstr>
      <vt:lpstr>Comparative Cases March 20</vt:lpstr>
      <vt:lpstr>Comparative Cases March 19</vt:lpstr>
      <vt:lpstr>Comparative Cases March 18</vt:lpstr>
      <vt:lpstr>Comparative Cases March 17</vt:lpstr>
      <vt:lpstr>Comparative Cases March 13</vt:lpstr>
      <vt:lpstr>Comparative Cases (march 16)</vt:lpstr>
      <vt:lpstr>Comparative Cases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Huang</dc:creator>
  <cp:lastModifiedBy>Eric Huang</cp:lastModifiedBy>
  <dcterms:created xsi:type="dcterms:W3CDTF">2015-06-05T18:17:20Z</dcterms:created>
  <dcterms:modified xsi:type="dcterms:W3CDTF">2020-04-26T13:35:30Z</dcterms:modified>
</cp:coreProperties>
</file>